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таб 3" sheetId="4" r:id="rId1"/>
    <sheet name="таб 2" sheetId="2" r:id="rId2"/>
    <sheet name="Лист3" sheetId="3" r:id="rId3"/>
  </sheets>
  <definedNames>
    <definedName name="_xlnm._FilterDatabase" localSheetId="0" hidden="1">'таб 3'!$A$4:$L$36</definedName>
    <definedName name="_xlnm.Print_Titles" localSheetId="1">'таб 2'!$4:$6</definedName>
    <definedName name="_xlnm.Print_Titles" localSheetId="0">'таб 3'!$4:$7</definedName>
  </definedNames>
  <calcPr calcId="144525" concurrentCalc="0"/>
</workbook>
</file>

<file path=xl/calcChain.xml><?xml version="1.0" encoding="utf-8"?>
<calcChain xmlns="http://schemas.openxmlformats.org/spreadsheetml/2006/main">
  <c r="E51" i="4" l="1"/>
  <c r="F51" i="4"/>
  <c r="F55" i="4"/>
  <c r="G58" i="4"/>
  <c r="H58" i="4"/>
  <c r="I58" i="4"/>
  <c r="J58" i="4"/>
  <c r="K58" i="4"/>
  <c r="L58" i="4"/>
  <c r="F58" i="4"/>
  <c r="E21" i="2"/>
  <c r="F21" i="2"/>
  <c r="G21" i="2"/>
  <c r="H21" i="2"/>
  <c r="I21" i="2"/>
  <c r="J21" i="2"/>
  <c r="K21" i="2"/>
  <c r="K36" i="2"/>
  <c r="L36" i="2"/>
  <c r="J36" i="2"/>
  <c r="I36" i="2"/>
  <c r="H36" i="2"/>
  <c r="G36" i="2"/>
  <c r="F36" i="2"/>
  <c r="E36" i="2"/>
  <c r="D36" i="2"/>
  <c r="E33" i="2"/>
  <c r="F33" i="2"/>
  <c r="G33" i="2"/>
  <c r="H33" i="2"/>
  <c r="I33" i="2"/>
  <c r="J33" i="2"/>
  <c r="K33" i="2"/>
  <c r="L33" i="2"/>
  <c r="E31" i="2"/>
  <c r="F31" i="2"/>
  <c r="G31" i="2"/>
  <c r="H31" i="2"/>
  <c r="I31" i="2"/>
  <c r="J31" i="2"/>
  <c r="K31" i="2"/>
  <c r="L31" i="2"/>
  <c r="E27" i="2"/>
  <c r="F27" i="2"/>
  <c r="G27" i="2"/>
  <c r="H27" i="2"/>
  <c r="I27" i="2"/>
  <c r="J27" i="2"/>
  <c r="K27" i="2"/>
  <c r="L27" i="2"/>
  <c r="E26" i="2"/>
  <c r="F26" i="2"/>
  <c r="G26" i="2"/>
  <c r="H26" i="2"/>
  <c r="I26" i="2"/>
  <c r="J26" i="2"/>
  <c r="K26" i="2"/>
  <c r="L26" i="2"/>
  <c r="E25" i="2"/>
  <c r="F25" i="2"/>
  <c r="G25" i="2"/>
  <c r="H25" i="2"/>
  <c r="I25" i="2"/>
  <c r="J25" i="2"/>
  <c r="K25" i="2"/>
  <c r="L25" i="2"/>
  <c r="E24" i="2"/>
  <c r="F24" i="2"/>
  <c r="G24" i="2"/>
  <c r="H24" i="2"/>
  <c r="I24" i="2"/>
  <c r="J24" i="2"/>
  <c r="K24" i="2"/>
  <c r="L24" i="2"/>
  <c r="E23" i="2"/>
  <c r="F23" i="2"/>
  <c r="G23" i="2"/>
  <c r="H23" i="2"/>
  <c r="I23" i="2"/>
  <c r="J23" i="2"/>
  <c r="K23" i="2"/>
  <c r="L23" i="2"/>
  <c r="L22" i="2"/>
  <c r="K22" i="2"/>
  <c r="J22" i="2"/>
  <c r="I22" i="2"/>
  <c r="H22" i="2"/>
  <c r="G22" i="2"/>
  <c r="F22" i="2"/>
  <c r="E22" i="2"/>
  <c r="D22" i="2"/>
  <c r="L21" i="2"/>
  <c r="E18" i="2"/>
  <c r="F18" i="2"/>
  <c r="G18" i="2"/>
  <c r="H18" i="2"/>
  <c r="I18" i="2"/>
  <c r="J18" i="2"/>
  <c r="K18" i="2"/>
  <c r="L18" i="2"/>
  <c r="L17" i="2"/>
  <c r="I17" i="2"/>
  <c r="J17" i="2"/>
  <c r="F17" i="2"/>
  <c r="G17" i="2"/>
  <c r="E14" i="2"/>
  <c r="F14" i="2"/>
  <c r="G14" i="2"/>
  <c r="H14" i="2"/>
  <c r="I14" i="2"/>
  <c r="J14" i="2"/>
  <c r="K14" i="2"/>
  <c r="L14" i="2"/>
  <c r="I42" i="4"/>
  <c r="F42" i="4"/>
  <c r="F38" i="4"/>
  <c r="F29" i="4"/>
  <c r="F18" i="4"/>
  <c r="F45" i="4"/>
  <c r="J42" i="4"/>
  <c r="K42" i="4"/>
  <c r="L42" i="4"/>
  <c r="E42" i="4"/>
  <c r="E35" i="4"/>
  <c r="E38" i="4"/>
  <c r="E23" i="4"/>
  <c r="E26" i="4"/>
  <c r="E29" i="4"/>
  <c r="E12" i="4"/>
  <c r="E15" i="4"/>
  <c r="E18" i="4"/>
  <c r="I45" i="4"/>
  <c r="J45" i="4"/>
  <c r="K45" i="4"/>
  <c r="L45" i="4"/>
  <c r="E45" i="4"/>
  <c r="G38" i="4"/>
  <c r="G29" i="4"/>
  <c r="G18" i="4"/>
  <c r="G51" i="4"/>
  <c r="H38" i="4"/>
  <c r="H29" i="4"/>
  <c r="H18" i="4"/>
  <c r="H51" i="4"/>
  <c r="I38" i="4"/>
  <c r="I29" i="4"/>
  <c r="I18" i="4"/>
  <c r="I51" i="4"/>
  <c r="J38" i="4"/>
  <c r="J29" i="4"/>
  <c r="J18" i="4"/>
  <c r="J51" i="4"/>
  <c r="K38" i="4"/>
  <c r="K29" i="4"/>
  <c r="K18" i="4"/>
  <c r="K51" i="4"/>
  <c r="L38" i="4"/>
  <c r="L29" i="4"/>
  <c r="L18" i="4"/>
  <c r="L51" i="4"/>
  <c r="F48" i="4"/>
  <c r="G48" i="4"/>
  <c r="H48" i="4"/>
  <c r="I48" i="4"/>
  <c r="J48" i="4"/>
  <c r="K48" i="4"/>
  <c r="L48" i="4"/>
  <c r="E48" i="4"/>
  <c r="F46" i="4"/>
  <c r="G46" i="4"/>
  <c r="H46" i="4"/>
  <c r="I46" i="4"/>
  <c r="J46" i="4"/>
  <c r="K46" i="4"/>
  <c r="L46" i="4"/>
  <c r="E44" i="4"/>
  <c r="E46" i="4"/>
  <c r="L13" i="4"/>
  <c r="G55" i="4"/>
  <c r="H59" i="4"/>
  <c r="I55" i="4"/>
  <c r="I59" i="4"/>
  <c r="J59" i="4"/>
  <c r="K59" i="4"/>
  <c r="L55" i="4"/>
  <c r="F37" i="4"/>
  <c r="L22" i="4"/>
  <c r="K22" i="4"/>
  <c r="J22" i="4"/>
  <c r="F17" i="4"/>
  <c r="G37" i="4"/>
  <c r="G17" i="4"/>
  <c r="H37" i="4"/>
  <c r="H17" i="4"/>
  <c r="I37" i="4"/>
  <c r="I17" i="4"/>
  <c r="J37" i="4"/>
  <c r="J17" i="4"/>
  <c r="K37" i="4"/>
  <c r="K28" i="4"/>
  <c r="K17" i="4"/>
  <c r="K50" i="4"/>
  <c r="K54" i="4"/>
  <c r="L37" i="4"/>
  <c r="L28" i="4"/>
  <c r="L17" i="4"/>
  <c r="L50" i="4"/>
  <c r="L43" i="4"/>
  <c r="L59" i="4"/>
  <c r="K43" i="4"/>
  <c r="J43" i="4"/>
  <c r="I43" i="4"/>
  <c r="H43" i="4"/>
  <c r="G43" i="4"/>
  <c r="G59" i="4"/>
  <c r="F43" i="4"/>
  <c r="E41" i="4"/>
  <c r="E43" i="4"/>
  <c r="E34" i="4"/>
  <c r="E11" i="4"/>
  <c r="E14" i="4"/>
  <c r="E17" i="4"/>
  <c r="E37" i="4"/>
  <c r="E25" i="4"/>
  <c r="K30" i="4"/>
  <c r="L30" i="4"/>
  <c r="L39" i="4"/>
  <c r="F39" i="4"/>
  <c r="G39" i="4"/>
  <c r="H39" i="4"/>
  <c r="I39" i="4"/>
  <c r="J39" i="4"/>
  <c r="K39" i="4"/>
  <c r="F36" i="4"/>
  <c r="G36" i="4"/>
  <c r="H36" i="4"/>
  <c r="I36" i="4"/>
  <c r="J36" i="4"/>
  <c r="K36" i="4"/>
  <c r="L36" i="4"/>
  <c r="E39" i="4"/>
  <c r="E36" i="4"/>
  <c r="E13" i="4"/>
  <c r="L27" i="4"/>
  <c r="K27" i="4"/>
  <c r="J27" i="4"/>
  <c r="I27" i="4"/>
  <c r="H27" i="4"/>
  <c r="G27" i="4"/>
  <c r="F27" i="4"/>
  <c r="E27" i="4"/>
  <c r="E16" i="4"/>
  <c r="E19" i="4"/>
  <c r="F16" i="4"/>
  <c r="F13" i="4"/>
  <c r="F19" i="4"/>
  <c r="G16" i="4"/>
  <c r="G13" i="4"/>
  <c r="G19" i="4"/>
  <c r="H16" i="4"/>
  <c r="H13" i="4"/>
  <c r="H19" i="4"/>
  <c r="I16" i="4"/>
  <c r="I13" i="4"/>
  <c r="I19" i="4"/>
  <c r="J16" i="4"/>
  <c r="J13" i="4"/>
  <c r="J19" i="4"/>
  <c r="K16" i="4"/>
  <c r="K13" i="4"/>
  <c r="K19" i="4"/>
  <c r="L16" i="4"/>
  <c r="L19" i="4"/>
  <c r="F49" i="4"/>
  <c r="J49" i="4"/>
  <c r="L49" i="4"/>
  <c r="K49" i="4"/>
  <c r="I49" i="4"/>
  <c r="H49" i="4"/>
  <c r="G49" i="4"/>
  <c r="L24" i="4"/>
  <c r="K24" i="4"/>
  <c r="J24" i="4"/>
  <c r="E49" i="4"/>
  <c r="L52" i="4"/>
  <c r="L54" i="4"/>
  <c r="L56" i="4"/>
  <c r="I22" i="4"/>
  <c r="J28" i="4"/>
  <c r="K55" i="4"/>
  <c r="K52" i="4"/>
  <c r="K56" i="4"/>
  <c r="F59" i="4"/>
  <c r="E58" i="4"/>
  <c r="E59" i="4"/>
  <c r="J55" i="4"/>
  <c r="H55" i="4"/>
  <c r="J50" i="4"/>
  <c r="J30" i="4"/>
  <c r="E55" i="4"/>
  <c r="H22" i="4"/>
  <c r="I28" i="4"/>
  <c r="I24" i="4"/>
  <c r="G22" i="4"/>
  <c r="H28" i="4"/>
  <c r="H24" i="4"/>
  <c r="I30" i="4"/>
  <c r="I50" i="4"/>
  <c r="J52" i="4"/>
  <c r="J54" i="4"/>
  <c r="J56" i="4"/>
  <c r="H50" i="4"/>
  <c r="H30" i="4"/>
  <c r="I54" i="4"/>
  <c r="I56" i="4"/>
  <c r="I52" i="4"/>
  <c r="F22" i="4"/>
  <c r="G28" i="4"/>
  <c r="G24" i="4"/>
  <c r="G30" i="4"/>
  <c r="G50" i="4"/>
  <c r="F28" i="4"/>
  <c r="E22" i="4"/>
  <c r="F24" i="4"/>
  <c r="H52" i="4"/>
  <c r="H54" i="4"/>
  <c r="H56" i="4"/>
  <c r="E28" i="4"/>
  <c r="E24" i="4"/>
  <c r="G54" i="4"/>
  <c r="G56" i="4"/>
  <c r="G52" i="4"/>
  <c r="F50" i="4"/>
  <c r="F30" i="4"/>
  <c r="F52" i="4"/>
  <c r="F54" i="4"/>
  <c r="E50" i="4"/>
  <c r="E52" i="4"/>
  <c r="E30" i="4"/>
  <c r="E54" i="4"/>
  <c r="E56" i="4"/>
  <c r="F56" i="4"/>
</calcChain>
</file>

<file path=xl/sharedStrings.xml><?xml version="1.0" encoding="utf-8"?>
<sst xmlns="http://schemas.openxmlformats.org/spreadsheetml/2006/main" count="184" uniqueCount="105">
  <si>
    <t>№</t>
  </si>
  <si>
    <t>1.1.</t>
  </si>
  <si>
    <t>1.2.</t>
  </si>
  <si>
    <t>2.1.</t>
  </si>
  <si>
    <t>Задача 1.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</si>
  <si>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t>2.2.</t>
  </si>
  <si>
    <t>3.1.</t>
  </si>
  <si>
    <t>"Развитие жилищно-коммунального комплекса в городе Югорске на 2014-2020 годы"</t>
  </si>
  <si>
    <t>Мероприятия программы</t>
  </si>
  <si>
    <t>Ответственный исполнитель / соисполнитель</t>
  </si>
  <si>
    <t>Всего</t>
  </si>
  <si>
    <t>в том числе, по годам</t>
  </si>
  <si>
    <t>Финансовые затраты на реализацию (тыс. руб.)</t>
  </si>
  <si>
    <t>бюджет АО</t>
  </si>
  <si>
    <t>бюджет МО</t>
  </si>
  <si>
    <t>ДЖКиСК</t>
  </si>
  <si>
    <t>Капитальный ремонт (с заменой) газопроводов, систем теплоснабжения, водоснабжения, водоотведения в рамках подготовки объектов ЖКХ к осенне-зимнему периоду</t>
  </si>
  <si>
    <t>Предоставление субсидии на возмещение недополученных доходов организациям, осуществляющим реализацию населению сжиженного газа</t>
  </si>
  <si>
    <t xml:space="preserve">Предоставление субсидии на возмещение недополученных доходов организациям, осуществляющим оказание населению жилищно-коммунальных услуг </t>
  </si>
  <si>
    <t>Обеспечение деятельности органов местного самоуправления в сфере жилищно-коммунального и строительного комплекса</t>
  </si>
  <si>
    <t>Администрация города Югорска (отдел по бухгалтерскому учету и отчетности)</t>
  </si>
  <si>
    <t>Итого по Подпрограмме 3</t>
  </si>
  <si>
    <t>4.1.</t>
  </si>
  <si>
    <t>Итого по Муниципальной программе</t>
  </si>
  <si>
    <t>Подпрограмма 1. Создание условий для обеспечения качественными коммунальными услугами</t>
  </si>
  <si>
    <t>Реконструкция, расширение, модернизация, строительство объектов коммунального комплекса</t>
  </si>
  <si>
    <t>ИТОГО по подпрограмме 1</t>
  </si>
  <si>
    <t>Подпрограмма 2. Обеспечение равных прав потребителей на получение энергетических ресурсов</t>
  </si>
  <si>
    <t>ИТОГО по подпрограмме 2</t>
  </si>
  <si>
    <t xml:space="preserve">Подпрограмма 3. Содействие развитию жилищного строительства 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</si>
  <si>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</si>
  <si>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Отдельные мероприятия</t>
  </si>
  <si>
    <t>Итого по Отдельным мероприятиям</t>
  </si>
  <si>
    <t>Таблица 3</t>
  </si>
  <si>
    <t>Цель 1. Повышение надежности и качества предоставления жилищно-коммунальных услуг.</t>
  </si>
  <si>
    <t>Задача 2. Создание условий для эффективной деятельности организаций коммунального комплекса</t>
  </si>
  <si>
    <t>Цель 2. Создание условий для увеличения объемов жилищного строительства</t>
  </si>
  <si>
    <t>Задача 3. Строительство объектов инженерной инфраструктуры на участках, предназначенных для жилищного строительства.</t>
  </si>
  <si>
    <t xml:space="preserve">в том числе </t>
  </si>
  <si>
    <t>по ДЖКиСК</t>
  </si>
  <si>
    <t>Перечень мероприятий муниципальной программы</t>
  </si>
  <si>
    <t>Таблица 2</t>
  </si>
  <si>
    <t>Система показателей, характеризующих результаты реализации муниципальной программы</t>
  </si>
  <si>
    <t>Наименование показателей результатов</t>
  </si>
  <si>
    <t>Ед. Из.</t>
  </si>
  <si>
    <t>Базовый показатель на начало реализации программы</t>
  </si>
  <si>
    <t>Значения показателя по годам</t>
  </si>
  <si>
    <t>Целевое значение показателя на момент окончания действия муниципальной программы</t>
  </si>
  <si>
    <t>Показатели непосредственных результатов</t>
  </si>
  <si>
    <t>1.1.1.</t>
  </si>
  <si>
    <t>%</t>
  </si>
  <si>
    <t>1.1.2.</t>
  </si>
  <si>
    <t>1.1.3.</t>
  </si>
  <si>
    <t>Доля потерь воды при подаче, транспортировке*</t>
  </si>
  <si>
    <t>Доля площади жилых помещений, оборудованная газом (природным и сжиженным)***</t>
  </si>
  <si>
    <t>Доля площади жилых помещений, оборудованная сжиженным газом ***</t>
  </si>
  <si>
    <t>Обеспечение объема ввода жилья ****</t>
  </si>
  <si>
    <t>тыс. кв.м.</t>
  </si>
  <si>
    <t>3.2.</t>
  </si>
  <si>
    <t>Увеличение протяженности инженерных сетей****</t>
  </si>
  <si>
    <t>м</t>
  </si>
  <si>
    <t>3.2.1.</t>
  </si>
  <si>
    <t xml:space="preserve"> Сетей электроснабжения </t>
  </si>
  <si>
    <t>3.2.2.</t>
  </si>
  <si>
    <t xml:space="preserve"> Сетей газоснабжения </t>
  </si>
  <si>
    <t>3.2.3.</t>
  </si>
  <si>
    <t xml:space="preserve"> Сетей водоснабжения</t>
  </si>
  <si>
    <t>3.2.4.</t>
  </si>
  <si>
    <t xml:space="preserve"> Сетей канализации</t>
  </si>
  <si>
    <t>3.2.5.</t>
  </si>
  <si>
    <t>Сетей теплоснабжения</t>
  </si>
  <si>
    <t>Показатели конечных результатов</t>
  </si>
  <si>
    <t>Цель 1. Создание условий для повышения надежности и качества предоставления жилищно-коммунальных услуг.</t>
  </si>
  <si>
    <t>Объем потерь воды при подаче, транспортировке*</t>
  </si>
  <si>
    <t>м3</t>
  </si>
  <si>
    <t>5.1.</t>
  </si>
  <si>
    <t>Количество абонентов, пользующихся сжиженным газом ***</t>
  </si>
  <si>
    <t>чел.</t>
  </si>
  <si>
    <t>Цель 2 . Создание условий для увеличения объемов жилищного строительства.</t>
  </si>
  <si>
    <t>6.1.</t>
  </si>
  <si>
    <t>Общая площадь жилых помещений, приходящаяся в среднем на 1 жителя****</t>
  </si>
  <si>
    <t>кв.м.</t>
  </si>
  <si>
    <t>6.2.</t>
  </si>
  <si>
    <t>6.2.1.</t>
  </si>
  <si>
    <t>сетями электроснабжения</t>
  </si>
  <si>
    <t>га</t>
  </si>
  <si>
    <t>6.2.2.</t>
  </si>
  <si>
    <t>сетями газоснабжения</t>
  </si>
  <si>
    <t>6.2.3.</t>
  </si>
  <si>
    <t>сетями водоснабжения</t>
  </si>
  <si>
    <t>6.2.4.</t>
  </si>
  <si>
    <t>сетями канализации</t>
  </si>
  <si>
    <t>6.2.5.</t>
  </si>
  <si>
    <t>сетями теплоснабжения</t>
  </si>
  <si>
    <t>* форма №1-водопровод Сведения о работе водопровода (отдельной водопроводной сети) за 20__г., приказ Росстата от 13.07.2010 №246</t>
  </si>
  <si>
    <t>**форма №1 -ТЕП "Сведения о снабжении теплоэнергией за 20__ г"приказ Росстата от 13.07.2010 №246</t>
  </si>
  <si>
    <t>*** форма №1-жилфонд, утв. Приказом Росстата от 12.09.2012 г. №492 "Сведения о жилищном фонде,по состоянию на 31.12.20__ года"</t>
  </si>
  <si>
    <t>Доля инженерных сетей, требующих замены,  в том числе</t>
  </si>
  <si>
    <t>Доля сетей теплоснабжения, требующих замены**</t>
  </si>
  <si>
    <t>Доля сетей горячего водоснабжения, требующих замены**</t>
  </si>
  <si>
    <t>Доля сетей холодного водоснабжения, требующих замены*</t>
  </si>
  <si>
    <t>Площадь земельных участков, обеспеченных инженерными сетями</t>
  </si>
  <si>
    <t>**** Статистическая форма С-1 "Сведения о вводе в эксплуатацию зданий и сооружений "Приказ Росстата от 03.08.2011 № 343</t>
  </si>
  <si>
    <t>Источники финансирова                              ния</t>
  </si>
  <si>
    <t>по Администрации города Югорска                            (отдел по бухгалтерскому учету и отчетности)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</si>
</sst>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zoomScaleSheetLayoutView="100" workbookViewId="0">
      <selection activeCell="M10" sqref="M10"/>
    </sheetView>
  </sheetViews>
  <sheetFormatPr defaultRowHeight="15" x14ac:dyDescent="0.25"/>
  <cols>
    <col min="1" max="1" width="4.85546875" style="1" customWidth="1"/>
    <col min="2" max="2" width="43" customWidth="1"/>
    <col min="3" max="3" width="14.42578125" customWidth="1"/>
    <col min="4" max="4" width="13.140625" style="1" customWidth="1"/>
    <col min="5" max="5" width="10.5703125" customWidth="1"/>
    <col min="6" max="12" width="9.7109375" customWidth="1"/>
  </cols>
  <sheetData>
    <row r="1" spans="1:12" ht="15.75" customHeight="1" x14ac:dyDescent="0.25">
      <c r="A1" s="5"/>
      <c r="B1" s="5"/>
      <c r="C1" s="5"/>
      <c r="D1" s="2"/>
      <c r="E1" s="5"/>
      <c r="F1" s="5"/>
      <c r="G1" s="5"/>
      <c r="H1" s="5"/>
      <c r="I1" s="5"/>
      <c r="J1" s="5"/>
      <c r="K1" s="5"/>
      <c r="L1" s="44" t="s">
        <v>33</v>
      </c>
    </row>
    <row r="2" spans="1:12" ht="18" customHeight="1" x14ac:dyDescent="0.25">
      <c r="A2" s="48" t="s">
        <v>40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1" customHeight="1" x14ac:dyDescent="0.25">
      <c r="A3" s="49" t="s">
        <v>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s="2" customFormat="1" ht="20.25" customHeight="1" x14ac:dyDescent="0.2">
      <c r="A4" s="50" t="s">
        <v>0</v>
      </c>
      <c r="B4" s="50" t="s">
        <v>8</v>
      </c>
      <c r="C4" s="50" t="s">
        <v>9</v>
      </c>
      <c r="D4" s="50" t="s">
        <v>12</v>
      </c>
      <c r="E4" s="50"/>
      <c r="F4" s="50"/>
      <c r="G4" s="50"/>
      <c r="H4" s="50"/>
      <c r="I4" s="50"/>
      <c r="J4" s="50"/>
      <c r="K4" s="50"/>
      <c r="L4" s="50"/>
    </row>
    <row r="5" spans="1:12" s="2" customFormat="1" ht="15.75" customHeight="1" x14ac:dyDescent="0.2">
      <c r="A5" s="50"/>
      <c r="B5" s="50"/>
      <c r="C5" s="50"/>
      <c r="D5" s="50" t="s">
        <v>103</v>
      </c>
      <c r="E5" s="50" t="s">
        <v>10</v>
      </c>
      <c r="F5" s="50" t="s">
        <v>11</v>
      </c>
      <c r="G5" s="50"/>
      <c r="H5" s="50"/>
      <c r="I5" s="50"/>
      <c r="J5" s="50"/>
      <c r="K5" s="50"/>
      <c r="L5" s="50"/>
    </row>
    <row r="6" spans="1:12" s="2" customFormat="1" ht="21.75" customHeight="1" x14ac:dyDescent="0.2">
      <c r="A6" s="50"/>
      <c r="B6" s="50"/>
      <c r="C6" s="50"/>
      <c r="D6" s="50"/>
      <c r="E6" s="50"/>
      <c r="F6" s="43">
        <v>2014</v>
      </c>
      <c r="G6" s="43">
        <v>2015</v>
      </c>
      <c r="H6" s="43">
        <v>2016</v>
      </c>
      <c r="I6" s="43">
        <v>2017</v>
      </c>
      <c r="J6" s="43">
        <v>2018</v>
      </c>
      <c r="K6" s="43">
        <v>2019</v>
      </c>
      <c r="L6" s="43">
        <v>2020</v>
      </c>
    </row>
    <row r="7" spans="1:12" s="3" customFormat="1" ht="15" customHeight="1" x14ac:dyDescent="0.2">
      <c r="A7" s="43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</row>
    <row r="8" spans="1:12" ht="17.25" customHeight="1" x14ac:dyDescent="0.25">
      <c r="A8" s="45" t="s">
        <v>34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ht="21.75" customHeight="1" x14ac:dyDescent="0.25">
      <c r="A9" s="45" t="s">
        <v>24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ht="32.25" customHeight="1" x14ac:dyDescent="0.25">
      <c r="A10" s="47" t="s">
        <v>4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2" ht="21.75" customHeight="1" x14ac:dyDescent="0.25">
      <c r="A11" s="46" t="s">
        <v>1</v>
      </c>
      <c r="B11" s="46" t="s">
        <v>25</v>
      </c>
      <c r="C11" s="46" t="s">
        <v>15</v>
      </c>
      <c r="D11" s="6" t="s">
        <v>13</v>
      </c>
      <c r="E11" s="8">
        <f>SUM(F11:L11)</f>
        <v>100000</v>
      </c>
      <c r="F11" s="9">
        <v>50000</v>
      </c>
      <c r="G11" s="9">
        <v>50000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pans="1:12" ht="21.75" customHeight="1" x14ac:dyDescent="0.25">
      <c r="A12" s="46"/>
      <c r="B12" s="46"/>
      <c r="C12" s="46"/>
      <c r="D12" s="6" t="s">
        <v>14</v>
      </c>
      <c r="E12" s="8">
        <f t="shared" ref="E12" si="0">SUM(F12:L12)</f>
        <v>17175.5</v>
      </c>
      <c r="F12" s="9">
        <v>2632</v>
      </c>
      <c r="G12" s="9">
        <v>2632</v>
      </c>
      <c r="H12" s="9">
        <v>0</v>
      </c>
      <c r="I12" s="9">
        <v>2763.6</v>
      </c>
      <c r="J12" s="9">
        <v>2901.8</v>
      </c>
      <c r="K12" s="9">
        <v>3046.9</v>
      </c>
      <c r="L12" s="9">
        <v>3199.2</v>
      </c>
    </row>
    <row r="13" spans="1:12" ht="21.75" customHeight="1" x14ac:dyDescent="0.25">
      <c r="A13" s="46"/>
      <c r="B13" s="46"/>
      <c r="C13" s="46"/>
      <c r="D13" s="7" t="s">
        <v>10</v>
      </c>
      <c r="E13" s="10">
        <f t="shared" ref="E13:L13" si="1">SUM(E11:E12)</f>
        <v>117175.5</v>
      </c>
      <c r="F13" s="10">
        <f t="shared" si="1"/>
        <v>52632</v>
      </c>
      <c r="G13" s="10">
        <f t="shared" si="1"/>
        <v>52632</v>
      </c>
      <c r="H13" s="10">
        <f t="shared" si="1"/>
        <v>0</v>
      </c>
      <c r="I13" s="10">
        <f t="shared" si="1"/>
        <v>2763.6</v>
      </c>
      <c r="J13" s="10">
        <f t="shared" si="1"/>
        <v>2901.8</v>
      </c>
      <c r="K13" s="10">
        <f t="shared" si="1"/>
        <v>3046.9</v>
      </c>
      <c r="L13" s="10">
        <f t="shared" si="1"/>
        <v>3199.2</v>
      </c>
    </row>
    <row r="14" spans="1:12" ht="21.75" customHeight="1" x14ac:dyDescent="0.25">
      <c r="A14" s="46" t="s">
        <v>2</v>
      </c>
      <c r="B14" s="46" t="s">
        <v>16</v>
      </c>
      <c r="C14" s="46" t="s">
        <v>15</v>
      </c>
      <c r="D14" s="6" t="s">
        <v>13</v>
      </c>
      <c r="E14" s="8">
        <f>SUM(F14:L14)</f>
        <v>11634</v>
      </c>
      <c r="F14" s="9">
        <v>3751.6</v>
      </c>
      <c r="G14" s="9">
        <v>4077.2</v>
      </c>
      <c r="H14" s="9">
        <v>3805.2</v>
      </c>
      <c r="I14" s="9">
        <v>0</v>
      </c>
      <c r="J14" s="9">
        <v>0</v>
      </c>
      <c r="K14" s="9">
        <v>0</v>
      </c>
      <c r="L14" s="9">
        <v>0</v>
      </c>
    </row>
    <row r="15" spans="1:12" ht="21.75" customHeight="1" x14ac:dyDescent="0.25">
      <c r="A15" s="46"/>
      <c r="B15" s="46"/>
      <c r="C15" s="46"/>
      <c r="D15" s="6" t="s">
        <v>14</v>
      </c>
      <c r="E15" s="13">
        <f t="shared" ref="E15" si="2">SUM(F15:L15)</f>
        <v>612.40000000000009</v>
      </c>
      <c r="F15" s="12">
        <v>197.5</v>
      </c>
      <c r="G15" s="12">
        <v>214.6</v>
      </c>
      <c r="H15" s="12">
        <v>200.3</v>
      </c>
      <c r="I15" s="12">
        <v>0</v>
      </c>
      <c r="J15" s="12">
        <v>0</v>
      </c>
      <c r="K15" s="12">
        <v>0</v>
      </c>
      <c r="L15" s="12">
        <v>0</v>
      </c>
    </row>
    <row r="16" spans="1:12" ht="21.75" customHeight="1" x14ac:dyDescent="0.25">
      <c r="A16" s="46"/>
      <c r="B16" s="46"/>
      <c r="C16" s="46"/>
      <c r="D16" s="7" t="s">
        <v>10</v>
      </c>
      <c r="E16" s="10">
        <f t="shared" ref="E16:L16" si="3">SUM(E14:E15)</f>
        <v>12246.4</v>
      </c>
      <c r="F16" s="10">
        <f t="shared" si="3"/>
        <v>3949.1</v>
      </c>
      <c r="G16" s="10">
        <f t="shared" si="3"/>
        <v>4291.8</v>
      </c>
      <c r="H16" s="10">
        <f t="shared" si="3"/>
        <v>4005.5</v>
      </c>
      <c r="I16" s="10">
        <f t="shared" si="3"/>
        <v>0</v>
      </c>
      <c r="J16" s="10">
        <f t="shared" si="3"/>
        <v>0</v>
      </c>
      <c r="K16" s="10">
        <f t="shared" si="3"/>
        <v>0</v>
      </c>
      <c r="L16" s="10">
        <f t="shared" si="3"/>
        <v>0</v>
      </c>
    </row>
    <row r="17" spans="1:12" ht="21" customHeight="1" x14ac:dyDescent="0.25">
      <c r="A17" s="46"/>
      <c r="B17" s="46" t="s">
        <v>26</v>
      </c>
      <c r="C17" s="46" t="s">
        <v>15</v>
      </c>
      <c r="D17" s="6" t="s">
        <v>13</v>
      </c>
      <c r="E17" s="9">
        <f t="shared" ref="E17:L17" si="4">E14+E11</f>
        <v>111634</v>
      </c>
      <c r="F17" s="9">
        <f t="shared" si="4"/>
        <v>53751.6</v>
      </c>
      <c r="G17" s="9">
        <f t="shared" si="4"/>
        <v>54077.2</v>
      </c>
      <c r="H17" s="9">
        <f t="shared" si="4"/>
        <v>3805.2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</row>
    <row r="18" spans="1:12" ht="21" customHeight="1" x14ac:dyDescent="0.25">
      <c r="A18" s="46"/>
      <c r="B18" s="46"/>
      <c r="C18" s="46"/>
      <c r="D18" s="6" t="s">
        <v>14</v>
      </c>
      <c r="E18" s="9">
        <f t="shared" ref="E18:L18" si="5">E12+E15</f>
        <v>17787.900000000001</v>
      </c>
      <c r="F18" s="9">
        <f t="shared" si="5"/>
        <v>2829.5</v>
      </c>
      <c r="G18" s="9">
        <f t="shared" si="5"/>
        <v>2846.6</v>
      </c>
      <c r="H18" s="9">
        <f t="shared" si="5"/>
        <v>200.3</v>
      </c>
      <c r="I18" s="9">
        <f t="shared" si="5"/>
        <v>2763.6</v>
      </c>
      <c r="J18" s="9">
        <f t="shared" si="5"/>
        <v>2901.8</v>
      </c>
      <c r="K18" s="9">
        <f t="shared" si="5"/>
        <v>3046.9</v>
      </c>
      <c r="L18" s="9">
        <f t="shared" si="5"/>
        <v>3199.2</v>
      </c>
    </row>
    <row r="19" spans="1:12" ht="21" customHeight="1" x14ac:dyDescent="0.25">
      <c r="A19" s="46"/>
      <c r="B19" s="46"/>
      <c r="C19" s="46"/>
      <c r="D19" s="7" t="s">
        <v>10</v>
      </c>
      <c r="E19" s="10">
        <f t="shared" ref="E19:L19" si="6">E16+E13</f>
        <v>129421.9</v>
      </c>
      <c r="F19" s="10">
        <f t="shared" si="6"/>
        <v>56581.1</v>
      </c>
      <c r="G19" s="10">
        <f t="shared" si="6"/>
        <v>56923.8</v>
      </c>
      <c r="H19" s="10">
        <f t="shared" si="6"/>
        <v>4005.5</v>
      </c>
      <c r="I19" s="10">
        <f t="shared" si="6"/>
        <v>2763.6</v>
      </c>
      <c r="J19" s="10">
        <f t="shared" si="6"/>
        <v>2901.8</v>
      </c>
      <c r="K19" s="10">
        <f t="shared" si="6"/>
        <v>3046.9</v>
      </c>
      <c r="L19" s="10">
        <f t="shared" si="6"/>
        <v>3199.2</v>
      </c>
    </row>
    <row r="20" spans="1:12" ht="21" customHeight="1" x14ac:dyDescent="0.25">
      <c r="A20" s="45" t="s">
        <v>27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</row>
    <row r="21" spans="1:12" ht="21.75" customHeight="1" x14ac:dyDescent="0.25">
      <c r="A21" s="47" t="s">
        <v>35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  <row r="22" spans="1:12" ht="25.5" customHeight="1" x14ac:dyDescent="0.25">
      <c r="A22" s="46" t="s">
        <v>3</v>
      </c>
      <c r="B22" s="46" t="s">
        <v>18</v>
      </c>
      <c r="C22" s="46" t="s">
        <v>15</v>
      </c>
      <c r="D22" s="6" t="s">
        <v>13</v>
      </c>
      <c r="E22" s="8">
        <f t="shared" ref="E22:E23" si="7">SUM(F22:L22)</f>
        <v>0</v>
      </c>
      <c r="F22" s="8">
        <f t="shared" ref="F22" si="8">SUM(G22:M22)</f>
        <v>0</v>
      </c>
      <c r="G22" s="8">
        <f>SUM(H22:N22)</f>
        <v>0</v>
      </c>
      <c r="H22" s="8">
        <f>SUM(I22:O22)</f>
        <v>0</v>
      </c>
      <c r="I22" s="8">
        <f t="shared" ref="I22" si="9">SUM(J22:P22)</f>
        <v>0</v>
      </c>
      <c r="J22" s="8">
        <f t="shared" ref="J22" si="10">SUM(K22:Q22)</f>
        <v>0</v>
      </c>
      <c r="K22" s="8">
        <f t="shared" ref="K22" si="11">SUM(L22:R22)</f>
        <v>0</v>
      </c>
      <c r="L22" s="8">
        <f t="shared" ref="L22" si="12">SUM(M22:S22)</f>
        <v>0</v>
      </c>
    </row>
    <row r="23" spans="1:12" ht="23.25" customHeight="1" x14ac:dyDescent="0.25">
      <c r="A23" s="46"/>
      <c r="B23" s="46"/>
      <c r="C23" s="46"/>
      <c r="D23" s="6" t="s">
        <v>14</v>
      </c>
      <c r="E23" s="8">
        <f t="shared" si="7"/>
        <v>14000</v>
      </c>
      <c r="F23" s="9">
        <v>10000</v>
      </c>
      <c r="G23" s="8">
        <v>0</v>
      </c>
      <c r="H23" s="8">
        <v>0</v>
      </c>
      <c r="I23" s="9">
        <v>1000</v>
      </c>
      <c r="J23" s="9">
        <v>1000</v>
      </c>
      <c r="K23" s="9">
        <v>1000</v>
      </c>
      <c r="L23" s="9">
        <v>1000</v>
      </c>
    </row>
    <row r="24" spans="1:12" ht="24.75" customHeight="1" x14ac:dyDescent="0.25">
      <c r="A24" s="46"/>
      <c r="B24" s="46"/>
      <c r="C24" s="46"/>
      <c r="D24" s="7" t="s">
        <v>10</v>
      </c>
      <c r="E24" s="10">
        <f t="shared" ref="E24:L24" si="13">SUM(E22:E23)</f>
        <v>14000</v>
      </c>
      <c r="F24" s="10">
        <f t="shared" si="13"/>
        <v>10000</v>
      </c>
      <c r="G24" s="10">
        <f t="shared" si="13"/>
        <v>0</v>
      </c>
      <c r="H24" s="10">
        <f t="shared" si="13"/>
        <v>0</v>
      </c>
      <c r="I24" s="10">
        <f t="shared" si="13"/>
        <v>1000</v>
      </c>
      <c r="J24" s="10">
        <f t="shared" si="13"/>
        <v>1000</v>
      </c>
      <c r="K24" s="10">
        <f t="shared" si="13"/>
        <v>1000</v>
      </c>
      <c r="L24" s="10">
        <f t="shared" si="13"/>
        <v>1000</v>
      </c>
    </row>
    <row r="25" spans="1:12" ht="24" customHeight="1" x14ac:dyDescent="0.25">
      <c r="A25" s="46" t="s">
        <v>5</v>
      </c>
      <c r="B25" s="46" t="s">
        <v>17</v>
      </c>
      <c r="C25" s="46" t="s">
        <v>15</v>
      </c>
      <c r="D25" s="6" t="s">
        <v>13</v>
      </c>
      <c r="E25" s="8">
        <f t="shared" ref="E25:E26" si="14">SUM(F25:L25)</f>
        <v>3903.5</v>
      </c>
      <c r="F25" s="9">
        <v>1172.7</v>
      </c>
      <c r="G25" s="9">
        <v>1270.0999999999999</v>
      </c>
      <c r="H25" s="9">
        <v>1460.7</v>
      </c>
      <c r="I25" s="9">
        <v>0</v>
      </c>
      <c r="J25" s="9">
        <v>0</v>
      </c>
      <c r="K25" s="9">
        <v>0</v>
      </c>
      <c r="L25" s="9">
        <v>0</v>
      </c>
    </row>
    <row r="26" spans="1:12" ht="21" customHeight="1" x14ac:dyDescent="0.25">
      <c r="A26" s="46"/>
      <c r="B26" s="46"/>
      <c r="C26" s="46"/>
      <c r="D26" s="6" t="s">
        <v>14</v>
      </c>
      <c r="E26" s="8">
        <f t="shared" si="14"/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pans="1:12" ht="24.75" customHeight="1" x14ac:dyDescent="0.25">
      <c r="A27" s="46"/>
      <c r="B27" s="46"/>
      <c r="C27" s="46"/>
      <c r="D27" s="7" t="s">
        <v>10</v>
      </c>
      <c r="E27" s="10">
        <f t="shared" ref="E27:L27" si="15">SUM(E25:E26)</f>
        <v>3903.5</v>
      </c>
      <c r="F27" s="10">
        <f t="shared" si="15"/>
        <v>1172.7</v>
      </c>
      <c r="G27" s="10">
        <f t="shared" si="15"/>
        <v>1270.0999999999999</v>
      </c>
      <c r="H27" s="10">
        <f t="shared" si="15"/>
        <v>1460.7</v>
      </c>
      <c r="I27" s="10">
        <f t="shared" si="15"/>
        <v>0</v>
      </c>
      <c r="J27" s="10">
        <f t="shared" si="15"/>
        <v>0</v>
      </c>
      <c r="K27" s="10">
        <f t="shared" si="15"/>
        <v>0</v>
      </c>
      <c r="L27" s="10">
        <f t="shared" si="15"/>
        <v>0</v>
      </c>
    </row>
    <row r="28" spans="1:12" ht="23.25" customHeight="1" x14ac:dyDescent="0.25">
      <c r="A28" s="42"/>
      <c r="B28" s="46" t="s">
        <v>28</v>
      </c>
      <c r="C28" s="46" t="s">
        <v>15</v>
      </c>
      <c r="D28" s="6" t="s">
        <v>13</v>
      </c>
      <c r="E28" s="9">
        <f t="shared" ref="E28:L28" si="16">E25+E22</f>
        <v>3903.5</v>
      </c>
      <c r="F28" s="9">
        <f t="shared" si="16"/>
        <v>1172.7</v>
      </c>
      <c r="G28" s="9">
        <f t="shared" si="16"/>
        <v>1270.0999999999999</v>
      </c>
      <c r="H28" s="9">
        <f t="shared" si="16"/>
        <v>1460.7</v>
      </c>
      <c r="I28" s="9">
        <f t="shared" si="16"/>
        <v>0</v>
      </c>
      <c r="J28" s="9">
        <f t="shared" si="16"/>
        <v>0</v>
      </c>
      <c r="K28" s="9">
        <f t="shared" si="16"/>
        <v>0</v>
      </c>
      <c r="L28" s="9">
        <f t="shared" si="16"/>
        <v>0</v>
      </c>
    </row>
    <row r="29" spans="1:12" ht="21.75" customHeight="1" x14ac:dyDescent="0.25">
      <c r="A29" s="42"/>
      <c r="B29" s="46"/>
      <c r="C29" s="46"/>
      <c r="D29" s="6" t="s">
        <v>14</v>
      </c>
      <c r="E29" s="9">
        <f t="shared" ref="E29:L29" si="17">E23+E26</f>
        <v>14000</v>
      </c>
      <c r="F29" s="9">
        <f t="shared" si="17"/>
        <v>10000</v>
      </c>
      <c r="G29" s="9">
        <f t="shared" si="17"/>
        <v>0</v>
      </c>
      <c r="H29" s="9">
        <f t="shared" si="17"/>
        <v>0</v>
      </c>
      <c r="I29" s="9">
        <f t="shared" si="17"/>
        <v>1000</v>
      </c>
      <c r="J29" s="9">
        <f t="shared" si="17"/>
        <v>1000</v>
      </c>
      <c r="K29" s="9">
        <f t="shared" si="17"/>
        <v>1000</v>
      </c>
      <c r="L29" s="9">
        <f t="shared" si="17"/>
        <v>1000</v>
      </c>
    </row>
    <row r="30" spans="1:12" ht="24.75" customHeight="1" x14ac:dyDescent="0.25">
      <c r="A30" s="42"/>
      <c r="B30" s="46"/>
      <c r="C30" s="46"/>
      <c r="D30" s="7" t="s">
        <v>10</v>
      </c>
      <c r="E30" s="10">
        <f t="shared" ref="E30:L30" si="18">E29+E28</f>
        <v>17903.5</v>
      </c>
      <c r="F30" s="10">
        <f t="shared" si="18"/>
        <v>11172.7</v>
      </c>
      <c r="G30" s="10">
        <f t="shared" si="18"/>
        <v>1270.0999999999999</v>
      </c>
      <c r="H30" s="10">
        <f t="shared" si="18"/>
        <v>1460.7</v>
      </c>
      <c r="I30" s="10">
        <f t="shared" si="18"/>
        <v>1000</v>
      </c>
      <c r="J30" s="10">
        <f t="shared" si="18"/>
        <v>1000</v>
      </c>
      <c r="K30" s="10">
        <f t="shared" si="18"/>
        <v>1000</v>
      </c>
      <c r="L30" s="10">
        <f t="shared" si="18"/>
        <v>1000</v>
      </c>
    </row>
    <row r="31" spans="1:12" ht="20.25" customHeight="1" x14ac:dyDescent="0.25">
      <c r="A31" s="45" t="s">
        <v>36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12" ht="21.75" customHeight="1" x14ac:dyDescent="0.25">
      <c r="A32" s="47" t="s">
        <v>29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</row>
    <row r="33" spans="1:15" ht="21.75" customHeight="1" x14ac:dyDescent="0.25">
      <c r="A33" s="47" t="s">
        <v>37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5" ht="24" customHeight="1" x14ac:dyDescent="0.25">
      <c r="A34" s="46" t="s">
        <v>6</v>
      </c>
      <c r="B34" s="46" t="s">
        <v>30</v>
      </c>
      <c r="C34" s="46" t="s">
        <v>15</v>
      </c>
      <c r="D34" s="6" t="s">
        <v>13</v>
      </c>
      <c r="E34" s="8">
        <f>SUM(F34:L34)</f>
        <v>44128</v>
      </c>
      <c r="F34" s="9">
        <v>29651</v>
      </c>
      <c r="G34" s="9">
        <v>14477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5" ht="24" customHeight="1" x14ac:dyDescent="0.25">
      <c r="A35" s="46"/>
      <c r="B35" s="46"/>
      <c r="C35" s="46"/>
      <c r="D35" s="6" t="s">
        <v>14</v>
      </c>
      <c r="E35" s="8">
        <f t="shared" ref="E35" si="19">SUM(F35:L35)</f>
        <v>19816</v>
      </c>
      <c r="F35" s="9">
        <v>3295</v>
      </c>
      <c r="G35" s="9">
        <v>1609</v>
      </c>
      <c r="H35" s="9">
        <v>0</v>
      </c>
      <c r="I35" s="9">
        <v>3459.8</v>
      </c>
      <c r="J35" s="9">
        <v>3632.7</v>
      </c>
      <c r="K35" s="9">
        <v>3814.4</v>
      </c>
      <c r="L35" s="9">
        <v>4005.1</v>
      </c>
    </row>
    <row r="36" spans="1:15" ht="24" customHeight="1" x14ac:dyDescent="0.25">
      <c r="A36" s="46"/>
      <c r="B36" s="46"/>
      <c r="C36" s="46"/>
      <c r="D36" s="7" t="s">
        <v>10</v>
      </c>
      <c r="E36" s="10">
        <f t="shared" ref="E36:L36" si="20">SUM(E34:E35)</f>
        <v>63944</v>
      </c>
      <c r="F36" s="10">
        <f t="shared" si="20"/>
        <v>32946</v>
      </c>
      <c r="G36" s="10">
        <f t="shared" si="20"/>
        <v>16086</v>
      </c>
      <c r="H36" s="10">
        <f t="shared" si="20"/>
        <v>0</v>
      </c>
      <c r="I36" s="10">
        <f t="shared" si="20"/>
        <v>3459.8</v>
      </c>
      <c r="J36" s="10">
        <f t="shared" si="20"/>
        <v>3632.7</v>
      </c>
      <c r="K36" s="10">
        <f t="shared" si="20"/>
        <v>3814.4</v>
      </c>
      <c r="L36" s="10">
        <f t="shared" si="20"/>
        <v>4005.1</v>
      </c>
    </row>
    <row r="37" spans="1:15" ht="24" customHeight="1" x14ac:dyDescent="0.25">
      <c r="A37" s="46"/>
      <c r="B37" s="46" t="s">
        <v>21</v>
      </c>
      <c r="C37" s="46" t="s">
        <v>15</v>
      </c>
      <c r="D37" s="6" t="s">
        <v>13</v>
      </c>
      <c r="E37" s="8">
        <f t="shared" ref="E37:L38" si="21">E34</f>
        <v>44128</v>
      </c>
      <c r="F37" s="8">
        <f t="shared" si="21"/>
        <v>29651</v>
      </c>
      <c r="G37" s="8">
        <f t="shared" si="21"/>
        <v>14477</v>
      </c>
      <c r="H37" s="8">
        <f t="shared" si="21"/>
        <v>0</v>
      </c>
      <c r="I37" s="8">
        <f t="shared" si="21"/>
        <v>0</v>
      </c>
      <c r="J37" s="8">
        <f t="shared" si="21"/>
        <v>0</v>
      </c>
      <c r="K37" s="8">
        <f t="shared" si="21"/>
        <v>0</v>
      </c>
      <c r="L37" s="8">
        <f t="shared" si="21"/>
        <v>0</v>
      </c>
    </row>
    <row r="38" spans="1:15" ht="24" customHeight="1" x14ac:dyDescent="0.25">
      <c r="A38" s="46"/>
      <c r="B38" s="46"/>
      <c r="C38" s="46"/>
      <c r="D38" s="6" t="s">
        <v>14</v>
      </c>
      <c r="E38" s="8">
        <f t="shared" si="21"/>
        <v>19816</v>
      </c>
      <c r="F38" s="8">
        <f t="shared" si="21"/>
        <v>3295</v>
      </c>
      <c r="G38" s="8">
        <f t="shared" si="21"/>
        <v>1609</v>
      </c>
      <c r="H38" s="8">
        <f t="shared" si="21"/>
        <v>0</v>
      </c>
      <c r="I38" s="8">
        <f t="shared" si="21"/>
        <v>3459.8</v>
      </c>
      <c r="J38" s="8">
        <f t="shared" si="21"/>
        <v>3632.7</v>
      </c>
      <c r="K38" s="8">
        <f t="shared" si="21"/>
        <v>3814.4</v>
      </c>
      <c r="L38" s="8">
        <f t="shared" si="21"/>
        <v>4005.1</v>
      </c>
      <c r="N38" s="11"/>
      <c r="O38" s="11"/>
    </row>
    <row r="39" spans="1:15" ht="24" customHeight="1" x14ac:dyDescent="0.25">
      <c r="A39" s="46"/>
      <c r="B39" s="46"/>
      <c r="C39" s="46"/>
      <c r="D39" s="7" t="s">
        <v>10</v>
      </c>
      <c r="E39" s="10">
        <f t="shared" ref="E39:L39" si="22">E37+E38</f>
        <v>63944</v>
      </c>
      <c r="F39" s="10">
        <f t="shared" si="22"/>
        <v>32946</v>
      </c>
      <c r="G39" s="10">
        <f t="shared" si="22"/>
        <v>16086</v>
      </c>
      <c r="H39" s="10">
        <f t="shared" si="22"/>
        <v>0</v>
      </c>
      <c r="I39" s="10">
        <f t="shared" si="22"/>
        <v>3459.8</v>
      </c>
      <c r="J39" s="10">
        <f t="shared" si="22"/>
        <v>3632.7</v>
      </c>
      <c r="K39" s="10">
        <f t="shared" si="22"/>
        <v>3814.4</v>
      </c>
      <c r="L39" s="10">
        <f t="shared" si="22"/>
        <v>4005.1</v>
      </c>
      <c r="N39" s="11"/>
    </row>
    <row r="40" spans="1:15" ht="21" customHeight="1" x14ac:dyDescent="0.25">
      <c r="A40" s="45" t="s">
        <v>31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5" ht="25.5" customHeight="1" x14ac:dyDescent="0.25">
      <c r="A41" s="46" t="s">
        <v>22</v>
      </c>
      <c r="B41" s="46" t="s">
        <v>19</v>
      </c>
      <c r="C41" s="46" t="s">
        <v>20</v>
      </c>
      <c r="D41" s="6" t="s">
        <v>13</v>
      </c>
      <c r="E41" s="8">
        <f t="shared" ref="E41:E45" si="23">SUM(F41:L41)</f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</row>
    <row r="42" spans="1:15" ht="25.5" customHeight="1" x14ac:dyDescent="0.25">
      <c r="A42" s="46"/>
      <c r="B42" s="46"/>
      <c r="C42" s="46"/>
      <c r="D42" s="6" t="s">
        <v>14</v>
      </c>
      <c r="E42" s="8">
        <f t="shared" si="23"/>
        <v>227442.2</v>
      </c>
      <c r="F42" s="9">
        <f>30217</f>
        <v>30217</v>
      </c>
      <c r="G42" s="9">
        <v>30217</v>
      </c>
      <c r="H42" s="9">
        <v>30217</v>
      </c>
      <c r="I42" s="9">
        <f>31818.5</f>
        <v>31818.5</v>
      </c>
      <c r="J42" s="9">
        <f>33441.2</f>
        <v>33441.199999999997</v>
      </c>
      <c r="K42" s="9">
        <f>35013</f>
        <v>35013</v>
      </c>
      <c r="L42" s="9">
        <f>36518.5</f>
        <v>36518.5</v>
      </c>
    </row>
    <row r="43" spans="1:15" ht="25.5" customHeight="1" x14ac:dyDescent="0.25">
      <c r="A43" s="46"/>
      <c r="B43" s="46"/>
      <c r="C43" s="46"/>
      <c r="D43" s="7" t="s">
        <v>10</v>
      </c>
      <c r="E43" s="10">
        <f t="shared" ref="E43:L43" si="24">SUM(E41:E42)</f>
        <v>227442.2</v>
      </c>
      <c r="F43" s="10">
        <f t="shared" si="24"/>
        <v>30217</v>
      </c>
      <c r="G43" s="10">
        <f t="shared" si="24"/>
        <v>30217</v>
      </c>
      <c r="H43" s="10">
        <f t="shared" si="24"/>
        <v>30217</v>
      </c>
      <c r="I43" s="10">
        <f t="shared" si="24"/>
        <v>31818.5</v>
      </c>
      <c r="J43" s="10">
        <f t="shared" si="24"/>
        <v>33441.199999999997</v>
      </c>
      <c r="K43" s="10">
        <f t="shared" si="24"/>
        <v>35013</v>
      </c>
      <c r="L43" s="10">
        <f t="shared" si="24"/>
        <v>36518.5</v>
      </c>
    </row>
    <row r="44" spans="1:15" ht="16.5" customHeight="1" x14ac:dyDescent="0.25">
      <c r="A44" s="46"/>
      <c r="B44" s="46"/>
      <c r="C44" s="46" t="s">
        <v>15</v>
      </c>
      <c r="D44" s="6" t="s">
        <v>13</v>
      </c>
      <c r="E44" s="8">
        <f t="shared" si="23"/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pans="1:15" ht="16.5" customHeight="1" x14ac:dyDescent="0.25">
      <c r="A45" s="46"/>
      <c r="B45" s="46"/>
      <c r="C45" s="46"/>
      <c r="D45" s="6" t="s">
        <v>14</v>
      </c>
      <c r="E45" s="8">
        <f t="shared" si="23"/>
        <v>1235</v>
      </c>
      <c r="F45" s="9">
        <f>235</f>
        <v>235</v>
      </c>
      <c r="G45" s="9">
        <v>0</v>
      </c>
      <c r="H45" s="9">
        <v>0</v>
      </c>
      <c r="I45" s="9">
        <f>150+100</f>
        <v>250</v>
      </c>
      <c r="J45" s="9">
        <f t="shared" ref="J45:L45" si="25">150+100</f>
        <v>250</v>
      </c>
      <c r="K45" s="9">
        <f t="shared" si="25"/>
        <v>250</v>
      </c>
      <c r="L45" s="9">
        <f t="shared" si="25"/>
        <v>250</v>
      </c>
    </row>
    <row r="46" spans="1:15" ht="16.5" customHeight="1" x14ac:dyDescent="0.25">
      <c r="A46" s="46"/>
      <c r="B46" s="46"/>
      <c r="C46" s="46"/>
      <c r="D46" s="7" t="s">
        <v>10</v>
      </c>
      <c r="E46" s="10">
        <f>SUM(E44:E45)</f>
        <v>1235</v>
      </c>
      <c r="F46" s="10">
        <f t="shared" ref="F46:L46" si="26">SUM(F44:F45)</f>
        <v>235</v>
      </c>
      <c r="G46" s="10">
        <f t="shared" si="26"/>
        <v>0</v>
      </c>
      <c r="H46" s="10">
        <f t="shared" si="26"/>
        <v>0</v>
      </c>
      <c r="I46" s="10">
        <f t="shared" si="26"/>
        <v>250</v>
      </c>
      <c r="J46" s="10">
        <f t="shared" si="26"/>
        <v>250</v>
      </c>
      <c r="K46" s="10">
        <f t="shared" si="26"/>
        <v>250</v>
      </c>
      <c r="L46" s="10">
        <f t="shared" si="26"/>
        <v>250</v>
      </c>
    </row>
    <row r="47" spans="1:15" ht="24.75" customHeight="1" x14ac:dyDescent="0.25">
      <c r="A47" s="46"/>
      <c r="B47" s="46" t="s">
        <v>32</v>
      </c>
      <c r="C47" s="46"/>
      <c r="D47" s="6" t="s">
        <v>13</v>
      </c>
      <c r="E47" s="8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</row>
    <row r="48" spans="1:15" ht="24.75" customHeight="1" x14ac:dyDescent="0.25">
      <c r="A48" s="46"/>
      <c r="B48" s="46"/>
      <c r="C48" s="46"/>
      <c r="D48" s="6" t="s">
        <v>14</v>
      </c>
      <c r="E48" s="8">
        <f>E42+E45</f>
        <v>228677.2</v>
      </c>
      <c r="F48" s="8">
        <f t="shared" ref="F48:L48" si="27">F42+F45</f>
        <v>30452</v>
      </c>
      <c r="G48" s="8">
        <f t="shared" si="27"/>
        <v>30217</v>
      </c>
      <c r="H48" s="8">
        <f t="shared" si="27"/>
        <v>30217</v>
      </c>
      <c r="I48" s="8">
        <f t="shared" si="27"/>
        <v>32068.5</v>
      </c>
      <c r="J48" s="8">
        <f t="shared" si="27"/>
        <v>33691.199999999997</v>
      </c>
      <c r="K48" s="8">
        <f t="shared" si="27"/>
        <v>35263</v>
      </c>
      <c r="L48" s="8">
        <f t="shared" si="27"/>
        <v>36768.5</v>
      </c>
    </row>
    <row r="49" spans="1:12" ht="24.75" customHeight="1" x14ac:dyDescent="0.25">
      <c r="A49" s="46"/>
      <c r="B49" s="46"/>
      <c r="C49" s="46"/>
      <c r="D49" s="7" t="s">
        <v>10</v>
      </c>
      <c r="E49" s="10">
        <f t="shared" ref="E49:L49" si="28">SUM(E47:E48)</f>
        <v>228677.2</v>
      </c>
      <c r="F49" s="10">
        <f t="shared" si="28"/>
        <v>30452</v>
      </c>
      <c r="G49" s="10">
        <f t="shared" si="28"/>
        <v>30217</v>
      </c>
      <c r="H49" s="10">
        <f t="shared" si="28"/>
        <v>30217</v>
      </c>
      <c r="I49" s="10">
        <f t="shared" si="28"/>
        <v>32068.5</v>
      </c>
      <c r="J49" s="10">
        <f t="shared" si="28"/>
        <v>33691.199999999997</v>
      </c>
      <c r="K49" s="10">
        <f t="shared" si="28"/>
        <v>35263</v>
      </c>
      <c r="L49" s="10">
        <f t="shared" si="28"/>
        <v>36768.5</v>
      </c>
    </row>
    <row r="50" spans="1:12" ht="24.75" customHeight="1" x14ac:dyDescent="0.25">
      <c r="A50" s="46"/>
      <c r="B50" s="46" t="s">
        <v>23</v>
      </c>
      <c r="C50" s="46"/>
      <c r="D50" s="6" t="s">
        <v>13</v>
      </c>
      <c r="E50" s="8">
        <f t="shared" ref="E50:L50" si="29">E47+E37+E28+E17</f>
        <v>159665.5</v>
      </c>
      <c r="F50" s="8">
        <f t="shared" si="29"/>
        <v>84575.3</v>
      </c>
      <c r="G50" s="8">
        <f t="shared" si="29"/>
        <v>69824.3</v>
      </c>
      <c r="H50" s="8">
        <f t="shared" si="29"/>
        <v>5265.9</v>
      </c>
      <c r="I50" s="8">
        <f t="shared" si="29"/>
        <v>0</v>
      </c>
      <c r="J50" s="8">
        <f t="shared" si="29"/>
        <v>0</v>
      </c>
      <c r="K50" s="8">
        <f t="shared" si="29"/>
        <v>0</v>
      </c>
      <c r="L50" s="8">
        <f t="shared" si="29"/>
        <v>0</v>
      </c>
    </row>
    <row r="51" spans="1:12" ht="24.75" customHeight="1" x14ac:dyDescent="0.25">
      <c r="A51" s="46"/>
      <c r="B51" s="46"/>
      <c r="C51" s="46"/>
      <c r="D51" s="6" t="s">
        <v>14</v>
      </c>
      <c r="E51" s="8">
        <f>E42+E38+E29+E18+E45</f>
        <v>280281.10000000003</v>
      </c>
      <c r="F51" s="8">
        <f>F42+F38+F29+F18+F45</f>
        <v>46576.5</v>
      </c>
      <c r="G51" s="8">
        <f t="shared" ref="G51:L51" si="30">G42+G38+G29+G18+G45</f>
        <v>34672.6</v>
      </c>
      <c r="H51" s="8">
        <f t="shared" si="30"/>
        <v>30417.3</v>
      </c>
      <c r="I51" s="8">
        <f t="shared" si="30"/>
        <v>39291.9</v>
      </c>
      <c r="J51" s="8">
        <f t="shared" si="30"/>
        <v>41225.699999999997</v>
      </c>
      <c r="K51" s="8">
        <f t="shared" si="30"/>
        <v>43124.3</v>
      </c>
      <c r="L51" s="8">
        <f t="shared" si="30"/>
        <v>44972.799999999996</v>
      </c>
    </row>
    <row r="52" spans="1:12" ht="24.75" customHeight="1" x14ac:dyDescent="0.25">
      <c r="A52" s="46"/>
      <c r="B52" s="46"/>
      <c r="C52" s="46"/>
      <c r="D52" s="7" t="s">
        <v>10</v>
      </c>
      <c r="E52" s="10">
        <f>SUM(E50:E51)</f>
        <v>439946.60000000003</v>
      </c>
      <c r="F52" s="10">
        <f t="shared" ref="F52:L52" si="31">SUM(F50:F51)</f>
        <v>131151.79999999999</v>
      </c>
      <c r="G52" s="10">
        <f t="shared" si="31"/>
        <v>104496.9</v>
      </c>
      <c r="H52" s="10">
        <f t="shared" si="31"/>
        <v>35683.199999999997</v>
      </c>
      <c r="I52" s="10">
        <f t="shared" si="31"/>
        <v>39291.9</v>
      </c>
      <c r="J52" s="10">
        <f t="shared" si="31"/>
        <v>41225.699999999997</v>
      </c>
      <c r="K52" s="10">
        <f t="shared" si="31"/>
        <v>43124.3</v>
      </c>
      <c r="L52" s="10">
        <f t="shared" si="31"/>
        <v>44972.799999999996</v>
      </c>
    </row>
    <row r="53" spans="1:12" s="4" customFormat="1" ht="20.25" customHeight="1" x14ac:dyDescent="0.25">
      <c r="A53" s="63"/>
      <c r="B53" s="26" t="s">
        <v>38</v>
      </c>
      <c r="C53" s="15"/>
      <c r="D53" s="14"/>
      <c r="E53" s="15"/>
      <c r="F53" s="15"/>
      <c r="G53" s="15"/>
      <c r="H53" s="15"/>
      <c r="I53" s="15"/>
      <c r="J53" s="15"/>
      <c r="K53" s="15"/>
      <c r="L53" s="15"/>
    </row>
    <row r="54" spans="1:12" s="4" customFormat="1" ht="24.75" customHeight="1" x14ac:dyDescent="0.25">
      <c r="A54" s="63"/>
      <c r="B54" s="64" t="s">
        <v>39</v>
      </c>
      <c r="C54" s="65"/>
      <c r="D54" s="6" t="s">
        <v>13</v>
      </c>
      <c r="E54" s="8">
        <f t="shared" ref="E54" si="32">SUM(F54:L54)</f>
        <v>159665.5</v>
      </c>
      <c r="F54" s="8">
        <f t="shared" ref="F54:L54" si="33">F50</f>
        <v>84575.3</v>
      </c>
      <c r="G54" s="8">
        <f t="shared" si="33"/>
        <v>69824.3</v>
      </c>
      <c r="H54" s="8">
        <f t="shared" si="33"/>
        <v>5265.9</v>
      </c>
      <c r="I54" s="8">
        <f t="shared" si="33"/>
        <v>0</v>
      </c>
      <c r="J54" s="8">
        <f t="shared" si="33"/>
        <v>0</v>
      </c>
      <c r="K54" s="8">
        <f t="shared" si="33"/>
        <v>0</v>
      </c>
      <c r="L54" s="8">
        <f t="shared" si="33"/>
        <v>0</v>
      </c>
    </row>
    <row r="55" spans="1:12" s="4" customFormat="1" ht="24.75" customHeight="1" x14ac:dyDescent="0.25">
      <c r="A55" s="63"/>
      <c r="B55" s="64"/>
      <c r="C55" s="65"/>
      <c r="D55" s="6" t="s">
        <v>14</v>
      </c>
      <c r="E55" s="8">
        <f>SUM(F55:L55)</f>
        <v>52838.9</v>
      </c>
      <c r="F55" s="8">
        <f>F51-F58</f>
        <v>16359.5</v>
      </c>
      <c r="G55" s="8">
        <f t="shared" ref="G55:L55" si="34">G51-G58</f>
        <v>4455.5999999999985</v>
      </c>
      <c r="H55" s="8">
        <f t="shared" si="34"/>
        <v>200.29999999999927</v>
      </c>
      <c r="I55" s="8">
        <f t="shared" si="34"/>
        <v>7473.4000000000015</v>
      </c>
      <c r="J55" s="8">
        <f t="shared" si="34"/>
        <v>7784.5</v>
      </c>
      <c r="K55" s="8">
        <f t="shared" si="34"/>
        <v>8111.3000000000029</v>
      </c>
      <c r="L55" s="8">
        <f t="shared" si="34"/>
        <v>8454.2999999999956</v>
      </c>
    </row>
    <row r="56" spans="1:12" s="4" customFormat="1" ht="24.75" customHeight="1" x14ac:dyDescent="0.25">
      <c r="A56" s="63"/>
      <c r="B56" s="64"/>
      <c r="C56" s="65"/>
      <c r="D56" s="7" t="s">
        <v>10</v>
      </c>
      <c r="E56" s="10">
        <f>SUM(E54:E55)</f>
        <v>212504.4</v>
      </c>
      <c r="F56" s="10">
        <f t="shared" ref="F56:L56" si="35">SUM(F54:F55)</f>
        <v>100934.8</v>
      </c>
      <c r="G56" s="10">
        <f t="shared" si="35"/>
        <v>74279.899999999994</v>
      </c>
      <c r="H56" s="10">
        <f t="shared" si="35"/>
        <v>5466.1999999999989</v>
      </c>
      <c r="I56" s="10">
        <f t="shared" si="35"/>
        <v>7473.4000000000015</v>
      </c>
      <c r="J56" s="10">
        <f t="shared" si="35"/>
        <v>7784.5</v>
      </c>
      <c r="K56" s="10">
        <f t="shared" si="35"/>
        <v>8111.3000000000029</v>
      </c>
      <c r="L56" s="10">
        <f t="shared" si="35"/>
        <v>8454.2999999999956</v>
      </c>
    </row>
    <row r="57" spans="1:12" s="4" customFormat="1" ht="24.75" customHeight="1" x14ac:dyDescent="0.25">
      <c r="A57" s="63"/>
      <c r="B57" s="47" t="s">
        <v>104</v>
      </c>
      <c r="C57" s="65"/>
      <c r="D57" s="6" t="s">
        <v>13</v>
      </c>
      <c r="E57" s="8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</row>
    <row r="58" spans="1:12" s="4" customFormat="1" ht="24.75" customHeight="1" x14ac:dyDescent="0.25">
      <c r="A58" s="63"/>
      <c r="B58" s="47"/>
      <c r="C58" s="65"/>
      <c r="D58" s="6" t="s">
        <v>14</v>
      </c>
      <c r="E58" s="8">
        <f>SUM(F58:L58)</f>
        <v>227442.2</v>
      </c>
      <c r="F58" s="8">
        <f>F42</f>
        <v>30217</v>
      </c>
      <c r="G58" s="8">
        <f t="shared" ref="G58:L58" si="36">G42</f>
        <v>30217</v>
      </c>
      <c r="H58" s="8">
        <f t="shared" si="36"/>
        <v>30217</v>
      </c>
      <c r="I58" s="8">
        <f t="shared" si="36"/>
        <v>31818.5</v>
      </c>
      <c r="J58" s="8">
        <f t="shared" si="36"/>
        <v>33441.199999999997</v>
      </c>
      <c r="K58" s="8">
        <f t="shared" si="36"/>
        <v>35013</v>
      </c>
      <c r="L58" s="8">
        <f t="shared" si="36"/>
        <v>36518.5</v>
      </c>
    </row>
    <row r="59" spans="1:12" s="4" customFormat="1" ht="24.75" customHeight="1" x14ac:dyDescent="0.25">
      <c r="A59" s="63"/>
      <c r="B59" s="47"/>
      <c r="C59" s="65"/>
      <c r="D59" s="7" t="s">
        <v>10</v>
      </c>
      <c r="E59" s="10">
        <f>SUM(E57:E58)</f>
        <v>227442.2</v>
      </c>
      <c r="F59" s="10">
        <f t="shared" ref="F59:L59" si="37">SUM(F57:F58)</f>
        <v>30217</v>
      </c>
      <c r="G59" s="10">
        <f t="shared" si="37"/>
        <v>30217</v>
      </c>
      <c r="H59" s="10">
        <f t="shared" si="37"/>
        <v>30217</v>
      </c>
      <c r="I59" s="10">
        <f t="shared" si="37"/>
        <v>31818.5</v>
      </c>
      <c r="J59" s="10">
        <f t="shared" si="37"/>
        <v>33441.199999999997</v>
      </c>
      <c r="K59" s="10">
        <f t="shared" si="37"/>
        <v>35013</v>
      </c>
      <c r="L59" s="10">
        <f t="shared" si="37"/>
        <v>36518.5</v>
      </c>
    </row>
    <row r="61" spans="1:12" x14ac:dyDescent="0.25">
      <c r="E61" s="11"/>
      <c r="F61" s="11"/>
      <c r="G61" s="11"/>
      <c r="H61" s="11"/>
      <c r="I61" s="11"/>
      <c r="J61" s="11"/>
      <c r="K61" s="11"/>
      <c r="L61" s="11"/>
    </row>
    <row r="62" spans="1:12" x14ac:dyDescent="0.25">
      <c r="E62" s="11"/>
      <c r="F62" s="11"/>
      <c r="G62" s="11"/>
      <c r="H62" s="11"/>
      <c r="I62" s="11"/>
      <c r="J62" s="11"/>
      <c r="K62" s="11"/>
      <c r="L62" s="11"/>
    </row>
  </sheetData>
  <mergeCells count="57">
    <mergeCell ref="C54:C56"/>
    <mergeCell ref="A17:A19"/>
    <mergeCell ref="A8:L8"/>
    <mergeCell ref="A9:L9"/>
    <mergeCell ref="A20:L20"/>
    <mergeCell ref="A21:L21"/>
    <mergeCell ref="C11:C13"/>
    <mergeCell ref="A10:L10"/>
    <mergeCell ref="B17:B19"/>
    <mergeCell ref="A37:A39"/>
    <mergeCell ref="B37:B39"/>
    <mergeCell ref="C37:C39"/>
    <mergeCell ref="C22:C24"/>
    <mergeCell ref="C28:C30"/>
    <mergeCell ref="C25:C27"/>
    <mergeCell ref="A31:L31"/>
    <mergeCell ref="A2:L2"/>
    <mergeCell ref="A3:L3"/>
    <mergeCell ref="A4:A6"/>
    <mergeCell ref="B4:B6"/>
    <mergeCell ref="C4:C6"/>
    <mergeCell ref="D4:L4"/>
    <mergeCell ref="F5:L5"/>
    <mergeCell ref="E5:E6"/>
    <mergeCell ref="D5:D6"/>
    <mergeCell ref="A34:A36"/>
    <mergeCell ref="B34:B36"/>
    <mergeCell ref="C34:C36"/>
    <mergeCell ref="A33:L33"/>
    <mergeCell ref="A32:L32"/>
    <mergeCell ref="B28:B30"/>
    <mergeCell ref="A22:A24"/>
    <mergeCell ref="B22:B24"/>
    <mergeCell ref="B11:B13"/>
    <mergeCell ref="A11:A13"/>
    <mergeCell ref="C17:C19"/>
    <mergeCell ref="A25:A27"/>
    <mergeCell ref="B25:B27"/>
    <mergeCell ref="A14:A16"/>
    <mergeCell ref="B14:B16"/>
    <mergeCell ref="C14:C16"/>
    <mergeCell ref="B54:B56"/>
    <mergeCell ref="B57:B59"/>
    <mergeCell ref="A40:L40"/>
    <mergeCell ref="A50:A52"/>
    <mergeCell ref="B50:B52"/>
    <mergeCell ref="C50:C52"/>
    <mergeCell ref="A47:A49"/>
    <mergeCell ref="B47:B49"/>
    <mergeCell ref="C47:C49"/>
    <mergeCell ref="C41:C43"/>
    <mergeCell ref="A41:A46"/>
    <mergeCell ref="B41:B46"/>
    <mergeCell ref="C44:C46"/>
    <mergeCell ref="A53:A56"/>
    <mergeCell ref="A57:A59"/>
    <mergeCell ref="C57:C59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93" fitToHeight="3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workbookViewId="0">
      <selection activeCell="A2" sqref="A2:L2"/>
    </sheetView>
  </sheetViews>
  <sheetFormatPr defaultRowHeight="15" x14ac:dyDescent="0.25"/>
  <cols>
    <col min="1" max="1" width="5.85546875" style="18" customWidth="1"/>
    <col min="2" max="2" width="49.28515625" style="4" customWidth="1"/>
    <col min="3" max="3" width="7.140625" style="4" customWidth="1"/>
    <col min="4" max="4" width="10.5703125" style="4" customWidth="1"/>
    <col min="5" max="11" width="9.7109375" style="4" customWidth="1"/>
    <col min="12" max="12" width="15.5703125" style="4" customWidth="1"/>
    <col min="13" max="14" width="9.140625" style="4"/>
  </cols>
  <sheetData>
    <row r="1" spans="1:14" x14ac:dyDescent="0.25">
      <c r="L1" s="19" t="s">
        <v>41</v>
      </c>
    </row>
    <row r="2" spans="1:14" x14ac:dyDescent="0.25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x14ac:dyDescent="0.25">
      <c r="A3" s="56" t="s">
        <v>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s="2" customFormat="1" x14ac:dyDescent="0.25">
      <c r="A4" s="57" t="s">
        <v>0</v>
      </c>
      <c r="B4" s="57" t="s">
        <v>43</v>
      </c>
      <c r="C4" s="57" t="s">
        <v>44</v>
      </c>
      <c r="D4" s="57" t="s">
        <v>45</v>
      </c>
      <c r="E4" s="59" t="s">
        <v>46</v>
      </c>
      <c r="F4" s="59"/>
      <c r="G4" s="59"/>
      <c r="H4" s="59"/>
      <c r="I4" s="59"/>
      <c r="J4" s="59"/>
      <c r="K4" s="59"/>
      <c r="L4" s="57" t="s">
        <v>47</v>
      </c>
      <c r="M4" s="4"/>
      <c r="N4" s="4"/>
    </row>
    <row r="5" spans="1:14" s="2" customFormat="1" x14ac:dyDescent="0.25">
      <c r="A5" s="58"/>
      <c r="B5" s="58"/>
      <c r="C5" s="58"/>
      <c r="D5" s="58"/>
      <c r="E5" s="20">
        <v>2014</v>
      </c>
      <c r="F5" s="20">
        <v>2015</v>
      </c>
      <c r="G5" s="20">
        <v>2016</v>
      </c>
      <c r="H5" s="20">
        <v>2017</v>
      </c>
      <c r="I5" s="20">
        <v>2018</v>
      </c>
      <c r="J5" s="20">
        <v>2019</v>
      </c>
      <c r="K5" s="20">
        <v>2020</v>
      </c>
      <c r="L5" s="58"/>
      <c r="M5" s="4"/>
      <c r="N5" s="4"/>
    </row>
    <row r="6" spans="1:14" s="3" customFormat="1" x14ac:dyDescent="0.25">
      <c r="A6" s="20">
        <v>1</v>
      </c>
      <c r="B6" s="20">
        <v>2</v>
      </c>
      <c r="C6" s="21">
        <v>3</v>
      </c>
      <c r="D6" s="20">
        <v>4</v>
      </c>
      <c r="E6" s="20">
        <v>5</v>
      </c>
      <c r="F6" s="21">
        <v>6</v>
      </c>
      <c r="G6" s="20">
        <v>7</v>
      </c>
      <c r="H6" s="20">
        <v>8</v>
      </c>
      <c r="I6" s="21">
        <v>9</v>
      </c>
      <c r="J6" s="20">
        <v>10</v>
      </c>
      <c r="K6" s="20">
        <v>11</v>
      </c>
      <c r="L6" s="21">
        <v>12</v>
      </c>
      <c r="M6" s="18"/>
      <c r="N6" s="18"/>
    </row>
    <row r="7" spans="1:14" x14ac:dyDescent="0.25">
      <c r="A7" s="51" t="s">
        <v>48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4" x14ac:dyDescent="0.25">
      <c r="A8" s="45" t="s">
        <v>24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4" x14ac:dyDescent="0.25">
      <c r="A9" s="47" t="s">
        <v>4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4" ht="30" x14ac:dyDescent="0.25">
      <c r="A10" s="17" t="s">
        <v>1</v>
      </c>
      <c r="B10" s="22" t="s">
        <v>97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4" x14ac:dyDescent="0.25">
      <c r="A11" s="17" t="s">
        <v>49</v>
      </c>
      <c r="B11" s="23" t="s">
        <v>98</v>
      </c>
      <c r="C11" s="17" t="s">
        <v>50</v>
      </c>
      <c r="D11" s="24">
        <v>70</v>
      </c>
      <c r="E11" s="24">
        <v>69.53</v>
      </c>
      <c r="F11" s="24">
        <v>69.06</v>
      </c>
      <c r="G11" s="24">
        <v>68.599999999999994</v>
      </c>
      <c r="H11" s="24">
        <v>68.599999999999994</v>
      </c>
      <c r="I11" s="24">
        <v>68.599999999999994</v>
      </c>
      <c r="J11" s="24">
        <v>68.599999999999994</v>
      </c>
      <c r="K11" s="24">
        <v>68.599999999999994</v>
      </c>
      <c r="L11" s="24">
        <v>68.599999999999994</v>
      </c>
    </row>
    <row r="12" spans="1:14" ht="30" x14ac:dyDescent="0.25">
      <c r="A12" s="17" t="s">
        <v>51</v>
      </c>
      <c r="B12" s="23" t="s">
        <v>99</v>
      </c>
      <c r="C12" s="17" t="s">
        <v>50</v>
      </c>
      <c r="D12" s="24">
        <v>70</v>
      </c>
      <c r="E12" s="24">
        <v>69.53</v>
      </c>
      <c r="F12" s="24">
        <v>69.06</v>
      </c>
      <c r="G12" s="24">
        <v>68.599999999999994</v>
      </c>
      <c r="H12" s="24">
        <v>68.599999999999994</v>
      </c>
      <c r="I12" s="24">
        <v>68.599999999999994</v>
      </c>
      <c r="J12" s="24">
        <v>68.599999999999994</v>
      </c>
      <c r="K12" s="24">
        <v>68.599999999999994</v>
      </c>
      <c r="L12" s="24">
        <v>68.599999999999994</v>
      </c>
    </row>
    <row r="13" spans="1:14" ht="30" x14ac:dyDescent="0.25">
      <c r="A13" s="17" t="s">
        <v>52</v>
      </c>
      <c r="B13" s="23" t="s">
        <v>100</v>
      </c>
      <c r="C13" s="17" t="s">
        <v>50</v>
      </c>
      <c r="D13" s="24">
        <v>73</v>
      </c>
      <c r="E13" s="24">
        <v>72.930000000000007</v>
      </c>
      <c r="F13" s="24">
        <v>72.86</v>
      </c>
      <c r="G13" s="24">
        <v>72.8</v>
      </c>
      <c r="H13" s="24">
        <v>72.8</v>
      </c>
      <c r="I13" s="24">
        <v>72.8</v>
      </c>
      <c r="J13" s="24">
        <v>72.8</v>
      </c>
      <c r="K13" s="24">
        <v>72.8</v>
      </c>
      <c r="L13" s="24">
        <v>72.8</v>
      </c>
    </row>
    <row r="14" spans="1:14" x14ac:dyDescent="0.25">
      <c r="A14" s="17" t="s">
        <v>2</v>
      </c>
      <c r="B14" s="25" t="s">
        <v>53</v>
      </c>
      <c r="C14" s="17" t="s">
        <v>50</v>
      </c>
      <c r="D14" s="26">
        <v>32.5</v>
      </c>
      <c r="E14" s="27">
        <f>D14/1.03</f>
        <v>31.553398058252426</v>
      </c>
      <c r="F14" s="27">
        <f t="shared" ref="F14:K14" si="0">E14/1.02</f>
        <v>30.934703978678851</v>
      </c>
      <c r="G14" s="27">
        <f t="shared" si="0"/>
        <v>30.328141155567501</v>
      </c>
      <c r="H14" s="27">
        <f t="shared" si="0"/>
        <v>29.733471721144607</v>
      </c>
      <c r="I14" s="27">
        <f t="shared" si="0"/>
        <v>29.150462471710398</v>
      </c>
      <c r="J14" s="27">
        <f t="shared" si="0"/>
        <v>28.578884776186666</v>
      </c>
      <c r="K14" s="27">
        <f t="shared" si="0"/>
        <v>28.018514486457516</v>
      </c>
      <c r="L14" s="27">
        <f>K14</f>
        <v>28.018514486457516</v>
      </c>
    </row>
    <row r="15" spans="1:14" x14ac:dyDescent="0.25">
      <c r="A15" s="60" t="s">
        <v>27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2"/>
    </row>
    <row r="16" spans="1:14" x14ac:dyDescent="0.25">
      <c r="A16" s="47" t="s">
        <v>35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</row>
    <row r="17" spans="1:16" ht="34.5" customHeight="1" x14ac:dyDescent="0.25">
      <c r="A17" s="17" t="s">
        <v>3</v>
      </c>
      <c r="B17" s="25" t="s">
        <v>54</v>
      </c>
      <c r="C17" s="17" t="s">
        <v>50</v>
      </c>
      <c r="D17" s="26">
        <v>98.2</v>
      </c>
      <c r="E17" s="26">
        <v>98.4</v>
      </c>
      <c r="F17" s="26">
        <f>E17</f>
        <v>98.4</v>
      </c>
      <c r="G17" s="26">
        <f t="shared" ref="G17" si="1">F17</f>
        <v>98.4</v>
      </c>
      <c r="H17" s="26">
        <v>98.4</v>
      </c>
      <c r="I17" s="26">
        <f t="shared" ref="I17:J17" si="2">H17</f>
        <v>98.4</v>
      </c>
      <c r="J17" s="26">
        <f t="shared" si="2"/>
        <v>98.4</v>
      </c>
      <c r="K17" s="26">
        <v>98.9</v>
      </c>
      <c r="L17" s="26">
        <f>K17</f>
        <v>98.9</v>
      </c>
    </row>
    <row r="18" spans="1:16" ht="33" customHeight="1" x14ac:dyDescent="0.25">
      <c r="A18" s="17" t="s">
        <v>5</v>
      </c>
      <c r="B18" s="25" t="s">
        <v>55</v>
      </c>
      <c r="C18" s="17" t="s">
        <v>50</v>
      </c>
      <c r="D18" s="26">
        <v>1.5</v>
      </c>
      <c r="E18" s="27">
        <f>D18/1.005</f>
        <v>1.4925373134328359</v>
      </c>
      <c r="F18" s="27">
        <f t="shared" ref="F18:L18" si="3">E18/1.005</f>
        <v>1.4851117546595385</v>
      </c>
      <c r="G18" s="27">
        <f t="shared" si="3"/>
        <v>1.477723138964715</v>
      </c>
      <c r="H18" s="27">
        <f t="shared" si="3"/>
        <v>1.4703712825519553</v>
      </c>
      <c r="I18" s="27">
        <f t="shared" si="3"/>
        <v>1.4630560025392592</v>
      </c>
      <c r="J18" s="27">
        <f t="shared" si="3"/>
        <v>1.4557771169544869</v>
      </c>
      <c r="K18" s="27">
        <f t="shared" si="3"/>
        <v>1.4485344447308328</v>
      </c>
      <c r="L18" s="27">
        <f t="shared" si="3"/>
        <v>1.4413278057023213</v>
      </c>
    </row>
    <row r="19" spans="1:16" ht="17.25" customHeight="1" x14ac:dyDescent="0.25">
      <c r="A19" s="47" t="s">
        <v>29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</row>
    <row r="20" spans="1:16" ht="18.75" customHeight="1" x14ac:dyDescent="0.25">
      <c r="A20" s="47" t="s">
        <v>37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1:16" ht="26.25" customHeight="1" x14ac:dyDescent="0.25">
      <c r="A21" s="17" t="s">
        <v>6</v>
      </c>
      <c r="B21" s="17" t="s">
        <v>56</v>
      </c>
      <c r="C21" s="16" t="s">
        <v>57</v>
      </c>
      <c r="D21" s="28">
        <v>968</v>
      </c>
      <c r="E21" s="28">
        <f>D21+35</f>
        <v>1003</v>
      </c>
      <c r="F21" s="28">
        <f t="shared" ref="F21:K21" si="4">E21+35</f>
        <v>1038</v>
      </c>
      <c r="G21" s="28">
        <f t="shared" si="4"/>
        <v>1073</v>
      </c>
      <c r="H21" s="28">
        <f t="shared" si="4"/>
        <v>1108</v>
      </c>
      <c r="I21" s="28">
        <f t="shared" si="4"/>
        <v>1143</v>
      </c>
      <c r="J21" s="28">
        <f t="shared" si="4"/>
        <v>1178</v>
      </c>
      <c r="K21" s="28">
        <f t="shared" si="4"/>
        <v>1213</v>
      </c>
      <c r="L21" s="28">
        <f>K21</f>
        <v>1213</v>
      </c>
    </row>
    <row r="22" spans="1:16" ht="23.25" customHeight="1" x14ac:dyDescent="0.25">
      <c r="A22" s="17" t="s">
        <v>58</v>
      </c>
      <c r="B22" s="17" t="s">
        <v>59</v>
      </c>
      <c r="C22" s="29" t="s">
        <v>60</v>
      </c>
      <c r="D22" s="30">
        <f>D23+D24+D25+D26+D27</f>
        <v>1580500</v>
      </c>
      <c r="E22" s="30">
        <f t="shared" ref="E22:L22" si="5">E23+E24+E25+E26+E27</f>
        <v>1592814</v>
      </c>
      <c r="F22" s="30">
        <f t="shared" si="5"/>
        <v>1612318</v>
      </c>
      <c r="G22" s="30">
        <f t="shared" si="5"/>
        <v>1612318</v>
      </c>
      <c r="H22" s="30">
        <f t="shared" si="5"/>
        <v>1619418</v>
      </c>
      <c r="I22" s="30">
        <f t="shared" si="5"/>
        <v>1624630</v>
      </c>
      <c r="J22" s="30">
        <f t="shared" si="5"/>
        <v>1625027</v>
      </c>
      <c r="K22" s="30">
        <f t="shared" si="5"/>
        <v>1668738</v>
      </c>
      <c r="L22" s="30">
        <f t="shared" si="5"/>
        <v>1668738</v>
      </c>
    </row>
    <row r="23" spans="1:16" ht="17.25" customHeight="1" x14ac:dyDescent="0.25">
      <c r="A23" s="17" t="s">
        <v>61</v>
      </c>
      <c r="B23" s="41" t="s">
        <v>62</v>
      </c>
      <c r="C23" s="31" t="s">
        <v>60</v>
      </c>
      <c r="D23" s="32">
        <v>770900</v>
      </c>
      <c r="E23" s="32">
        <f>D23</f>
        <v>770900</v>
      </c>
      <c r="F23" s="32">
        <f>E23+19504</f>
        <v>790404</v>
      </c>
      <c r="G23" s="32">
        <f>F23</f>
        <v>790404</v>
      </c>
      <c r="H23" s="32">
        <f>G23+2135</f>
        <v>792539</v>
      </c>
      <c r="I23" s="32">
        <f>H23</f>
        <v>792539</v>
      </c>
      <c r="J23" s="32">
        <f>I23+182+215</f>
        <v>792936</v>
      </c>
      <c r="K23" s="32">
        <f>J23</f>
        <v>792936</v>
      </c>
      <c r="L23" s="32">
        <f>K23</f>
        <v>792936</v>
      </c>
    </row>
    <row r="24" spans="1:16" ht="18" customHeight="1" x14ac:dyDescent="0.25">
      <c r="A24" s="17" t="s">
        <v>63</v>
      </c>
      <c r="B24" s="41" t="s">
        <v>64</v>
      </c>
      <c r="C24" s="31" t="s">
        <v>60</v>
      </c>
      <c r="D24" s="32">
        <v>227900</v>
      </c>
      <c r="E24" s="32">
        <f>D24+11054</f>
        <v>238954</v>
      </c>
      <c r="F24" s="32">
        <f>E24</f>
        <v>238954</v>
      </c>
      <c r="G24" s="32">
        <f>F24</f>
        <v>238954</v>
      </c>
      <c r="H24" s="32">
        <f>G24+151+858+258+1635+2063</f>
        <v>243919</v>
      </c>
      <c r="I24" s="32">
        <f>H24</f>
        <v>243919</v>
      </c>
      <c r="J24" s="32">
        <f>I24</f>
        <v>243919</v>
      </c>
      <c r="K24" s="32">
        <f>J24+851+2955</f>
        <v>247725</v>
      </c>
      <c r="L24" s="32">
        <f t="shared" ref="L24:L27" si="6">K24</f>
        <v>247725</v>
      </c>
    </row>
    <row r="25" spans="1:16" ht="17.25" customHeight="1" x14ac:dyDescent="0.25">
      <c r="A25" s="17" t="s">
        <v>65</v>
      </c>
      <c r="B25" s="41" t="s">
        <v>66</v>
      </c>
      <c r="C25" s="31" t="s">
        <v>60</v>
      </c>
      <c r="D25" s="32">
        <v>262400</v>
      </c>
      <c r="E25" s="32">
        <f>D25</f>
        <v>262400</v>
      </c>
      <c r="F25" s="32">
        <f>E25</f>
        <v>262400</v>
      </c>
      <c r="G25" s="32">
        <f>F25</f>
        <v>262400</v>
      </c>
      <c r="H25" s="32">
        <f>G25</f>
        <v>262400</v>
      </c>
      <c r="I25" s="32">
        <f>H25+5212</f>
        <v>267612</v>
      </c>
      <c r="J25" s="32">
        <f>I25</f>
        <v>267612</v>
      </c>
      <c r="K25" s="32">
        <f>J25+8580+2440</f>
        <v>278632</v>
      </c>
      <c r="L25" s="32">
        <f t="shared" si="6"/>
        <v>278632</v>
      </c>
    </row>
    <row r="26" spans="1:16" ht="18.75" customHeight="1" x14ac:dyDescent="0.25">
      <c r="A26" s="17" t="s">
        <v>67</v>
      </c>
      <c r="B26" s="41" t="s">
        <v>68</v>
      </c>
      <c r="C26" s="31" t="s">
        <v>60</v>
      </c>
      <c r="D26" s="32">
        <v>208500</v>
      </c>
      <c r="E26" s="32">
        <f>D26+1260</f>
        <v>209760</v>
      </c>
      <c r="F26" s="32">
        <f>E26</f>
        <v>209760</v>
      </c>
      <c r="G26" s="32">
        <f>F26</f>
        <v>209760</v>
      </c>
      <c r="H26" s="32">
        <f>G26</f>
        <v>209760</v>
      </c>
      <c r="I26" s="32">
        <f>H26</f>
        <v>209760</v>
      </c>
      <c r="J26" s="32">
        <f>I26</f>
        <v>209760</v>
      </c>
      <c r="K26" s="32">
        <f>J26+9430+305+15140+2005</f>
        <v>236640</v>
      </c>
      <c r="L26" s="32">
        <f t="shared" si="6"/>
        <v>236640</v>
      </c>
    </row>
    <row r="27" spans="1:16" ht="18" customHeight="1" x14ac:dyDescent="0.25">
      <c r="A27" s="17" t="s">
        <v>69</v>
      </c>
      <c r="B27" s="41" t="s">
        <v>70</v>
      </c>
      <c r="C27" s="31" t="s">
        <v>60</v>
      </c>
      <c r="D27" s="32">
        <v>110800</v>
      </c>
      <c r="E27" s="32">
        <f>D27</f>
        <v>110800</v>
      </c>
      <c r="F27" s="32">
        <f>E27</f>
        <v>110800</v>
      </c>
      <c r="G27" s="32">
        <f>F27</f>
        <v>110800</v>
      </c>
      <c r="H27" s="32">
        <f>G27</f>
        <v>110800</v>
      </c>
      <c r="I27" s="32">
        <f>H27</f>
        <v>110800</v>
      </c>
      <c r="J27" s="32">
        <f>I27</f>
        <v>110800</v>
      </c>
      <c r="K27" s="32">
        <f>J27+2005</f>
        <v>112805</v>
      </c>
      <c r="L27" s="32">
        <f t="shared" si="6"/>
        <v>112805</v>
      </c>
    </row>
    <row r="28" spans="1:16" ht="20.25" customHeight="1" x14ac:dyDescent="0.25">
      <c r="A28" s="51" t="s">
        <v>71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16" x14ac:dyDescent="0.25">
      <c r="A29" s="45" t="s">
        <v>72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P29" s="33"/>
    </row>
    <row r="30" spans="1:16" ht="15" customHeight="1" x14ac:dyDescent="0.25">
      <c r="A30" s="45" t="s">
        <v>24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6" ht="18" customHeight="1" x14ac:dyDescent="0.25">
      <c r="A31" s="17" t="s">
        <v>22</v>
      </c>
      <c r="B31" s="25" t="s">
        <v>73</v>
      </c>
      <c r="C31" s="17" t="s">
        <v>74</v>
      </c>
      <c r="D31" s="27">
        <v>1052.5899999999999</v>
      </c>
      <c r="E31" s="27">
        <f>D31/1.03</f>
        <v>1021.9320388349513</v>
      </c>
      <c r="F31" s="27">
        <f t="shared" ref="F31:K31" si="7">E31/1.03</f>
        <v>992.16702799509835</v>
      </c>
      <c r="G31" s="27">
        <f t="shared" si="7"/>
        <v>963.26895921854202</v>
      </c>
      <c r="H31" s="27">
        <f t="shared" si="7"/>
        <v>935.21258176557478</v>
      </c>
      <c r="I31" s="27">
        <f t="shared" si="7"/>
        <v>907.97338035492692</v>
      </c>
      <c r="J31" s="27">
        <f t="shared" si="7"/>
        <v>881.52755374264746</v>
      </c>
      <c r="K31" s="27">
        <f t="shared" si="7"/>
        <v>855.8519939249004</v>
      </c>
      <c r="L31" s="27">
        <f>K31</f>
        <v>855.8519939249004</v>
      </c>
    </row>
    <row r="32" spans="1:16" x14ac:dyDescent="0.25">
      <c r="A32" s="45" t="s">
        <v>27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4" ht="30" x14ac:dyDescent="0.25">
      <c r="A33" s="17" t="s">
        <v>75</v>
      </c>
      <c r="B33" s="25" t="s">
        <v>76</v>
      </c>
      <c r="C33" s="17" t="s">
        <v>77</v>
      </c>
      <c r="D33" s="26">
        <v>175</v>
      </c>
      <c r="E33" s="34">
        <f>D33/1.01</f>
        <v>173.26732673267327</v>
      </c>
      <c r="F33" s="34">
        <f t="shared" ref="F33:K33" si="8">E33/1.01</f>
        <v>171.55180864621116</v>
      </c>
      <c r="G33" s="34">
        <f t="shared" si="8"/>
        <v>169.85327588733779</v>
      </c>
      <c r="H33" s="34">
        <f t="shared" si="8"/>
        <v>168.17156028449287</v>
      </c>
      <c r="I33" s="34">
        <f t="shared" si="8"/>
        <v>166.50649533118107</v>
      </c>
      <c r="J33" s="34">
        <f t="shared" si="8"/>
        <v>164.8579161694862</v>
      </c>
      <c r="K33" s="34">
        <f t="shared" si="8"/>
        <v>163.22565957374871</v>
      </c>
      <c r="L33" s="34">
        <f>K33</f>
        <v>163.22565957374871</v>
      </c>
    </row>
    <row r="34" spans="1:14" s="35" customFormat="1" x14ac:dyDescent="0.25">
      <c r="A34" s="52" t="s">
        <v>78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4"/>
      <c r="M34" s="4"/>
      <c r="N34" s="4"/>
    </row>
    <row r="35" spans="1:14" x14ac:dyDescent="0.25">
      <c r="A35" s="47" t="s">
        <v>29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1:14" s="35" customFormat="1" ht="25.5" x14ac:dyDescent="0.25">
      <c r="A36" s="17" t="s">
        <v>79</v>
      </c>
      <c r="B36" s="36" t="s">
        <v>80</v>
      </c>
      <c r="C36" s="16" t="s">
        <v>81</v>
      </c>
      <c r="D36" s="9">
        <f>D21/35.6</f>
        <v>27.191011235955056</v>
      </c>
      <c r="E36" s="9">
        <f>E21/36.1</f>
        <v>27.78393351800554</v>
      </c>
      <c r="F36" s="9">
        <f>F21/36.6</f>
        <v>28.360655737704917</v>
      </c>
      <c r="G36" s="9">
        <f>G21/37.2</f>
        <v>28.844086021505372</v>
      </c>
      <c r="H36" s="9">
        <f>H21/38</f>
        <v>29.157894736842106</v>
      </c>
      <c r="I36" s="9">
        <f>I21/38.7</f>
        <v>29.534883720930232</v>
      </c>
      <c r="J36" s="9">
        <f>J21/39.4</f>
        <v>29.898477157360407</v>
      </c>
      <c r="K36" s="9">
        <f>K21/39.9</f>
        <v>30.401002506265666</v>
      </c>
      <c r="L36" s="9">
        <f>K36</f>
        <v>30.401002506265666</v>
      </c>
      <c r="M36" s="4"/>
      <c r="N36" s="4"/>
    </row>
    <row r="37" spans="1:14" ht="30" x14ac:dyDescent="0.25">
      <c r="A37" s="17" t="s">
        <v>82</v>
      </c>
      <c r="B37" s="37" t="s">
        <v>101</v>
      </c>
      <c r="C37" s="38"/>
      <c r="D37" s="38"/>
      <c r="E37" s="17"/>
      <c r="F37" s="17"/>
      <c r="G37" s="17"/>
      <c r="H37" s="17"/>
      <c r="I37" s="17"/>
      <c r="J37" s="17"/>
      <c r="K37" s="17"/>
      <c r="L37" s="17"/>
    </row>
    <row r="38" spans="1:14" x14ac:dyDescent="0.25">
      <c r="A38" s="17" t="s">
        <v>83</v>
      </c>
      <c r="B38" s="23" t="s">
        <v>84</v>
      </c>
      <c r="C38" s="38" t="s">
        <v>85</v>
      </c>
      <c r="D38" s="39">
        <v>1696</v>
      </c>
      <c r="E38" s="40">
        <v>1696</v>
      </c>
      <c r="F38" s="40">
        <v>1726</v>
      </c>
      <c r="G38" s="40">
        <v>1726</v>
      </c>
      <c r="H38" s="40">
        <v>1731</v>
      </c>
      <c r="I38" s="40">
        <v>1731</v>
      </c>
      <c r="J38" s="40">
        <v>1731</v>
      </c>
      <c r="K38" s="39">
        <v>1731</v>
      </c>
      <c r="L38" s="39">
        <v>1731</v>
      </c>
    </row>
    <row r="39" spans="1:14" x14ac:dyDescent="0.25">
      <c r="A39" s="17" t="s">
        <v>86</v>
      </c>
      <c r="B39" s="23" t="s">
        <v>87</v>
      </c>
      <c r="C39" s="38" t="s">
        <v>85</v>
      </c>
      <c r="D39" s="39">
        <v>1687</v>
      </c>
      <c r="E39" s="39">
        <v>1737</v>
      </c>
      <c r="F39" s="39">
        <v>1737</v>
      </c>
      <c r="G39" s="39">
        <v>1737</v>
      </c>
      <c r="H39" s="40">
        <v>1742</v>
      </c>
      <c r="I39" s="40">
        <v>1742</v>
      </c>
      <c r="J39" s="40">
        <v>1742</v>
      </c>
      <c r="K39" s="40">
        <v>1807</v>
      </c>
      <c r="L39" s="40">
        <v>1807</v>
      </c>
    </row>
    <row r="40" spans="1:14" x14ac:dyDescent="0.25">
      <c r="A40" s="17" t="s">
        <v>88</v>
      </c>
      <c r="B40" s="23" t="s">
        <v>89</v>
      </c>
      <c r="C40" s="38" t="s">
        <v>85</v>
      </c>
      <c r="D40" s="40">
        <v>1493</v>
      </c>
      <c r="E40" s="40">
        <v>1493</v>
      </c>
      <c r="F40" s="40">
        <v>1493</v>
      </c>
      <c r="G40" s="40">
        <v>1493</v>
      </c>
      <c r="H40" s="40">
        <v>1493</v>
      </c>
      <c r="I40" s="40">
        <v>1515</v>
      </c>
      <c r="J40" s="40">
        <v>1515</v>
      </c>
      <c r="K40" s="40">
        <v>1580</v>
      </c>
      <c r="L40" s="40">
        <v>1580</v>
      </c>
    </row>
    <row r="41" spans="1:14" x14ac:dyDescent="0.25">
      <c r="A41" s="17" t="s">
        <v>90</v>
      </c>
      <c r="B41" s="23" t="s">
        <v>91</v>
      </c>
      <c r="C41" s="38" t="s">
        <v>85</v>
      </c>
      <c r="D41" s="40">
        <v>1379</v>
      </c>
      <c r="E41" s="40">
        <v>1384</v>
      </c>
      <c r="F41" s="40">
        <v>1384</v>
      </c>
      <c r="G41" s="40">
        <v>1384</v>
      </c>
      <c r="H41" s="40">
        <v>1384</v>
      </c>
      <c r="I41" s="40">
        <v>1384</v>
      </c>
      <c r="J41" s="40">
        <v>1384</v>
      </c>
      <c r="K41" s="40">
        <v>1482</v>
      </c>
      <c r="L41" s="40">
        <v>1482</v>
      </c>
    </row>
    <row r="42" spans="1:14" x14ac:dyDescent="0.25">
      <c r="A42" s="17" t="s">
        <v>92</v>
      </c>
      <c r="B42" s="23" t="s">
        <v>93</v>
      </c>
      <c r="C42" s="38" t="s">
        <v>85</v>
      </c>
      <c r="D42" s="40">
        <v>1151</v>
      </c>
      <c r="E42" s="40">
        <v>1151</v>
      </c>
      <c r="F42" s="40">
        <v>1151</v>
      </c>
      <c r="G42" s="40">
        <v>1151</v>
      </c>
      <c r="H42" s="40">
        <v>1151</v>
      </c>
      <c r="I42" s="40">
        <v>1151</v>
      </c>
      <c r="J42" s="40">
        <v>1151</v>
      </c>
      <c r="K42" s="40">
        <v>1181</v>
      </c>
      <c r="L42" s="40">
        <v>1181</v>
      </c>
    </row>
    <row r="44" spans="1:14" ht="15.75" x14ac:dyDescent="0.25">
      <c r="A44" s="5"/>
      <c r="B44" s="4" t="s">
        <v>94</v>
      </c>
    </row>
    <row r="45" spans="1:14" x14ac:dyDescent="0.25">
      <c r="B45" s="4" t="s">
        <v>95</v>
      </c>
    </row>
    <row r="46" spans="1:14" x14ac:dyDescent="0.25">
      <c r="B46" s="4" t="s">
        <v>96</v>
      </c>
    </row>
    <row r="47" spans="1:14" x14ac:dyDescent="0.25">
      <c r="B47" s="4" t="s">
        <v>102</v>
      </c>
    </row>
  </sheetData>
  <mergeCells count="21">
    <mergeCell ref="A19:L19"/>
    <mergeCell ref="A2:L2"/>
    <mergeCell ref="A3:L3"/>
    <mergeCell ref="A4:A5"/>
    <mergeCell ref="B4:B5"/>
    <mergeCell ref="C4:C5"/>
    <mergeCell ref="D4:D5"/>
    <mergeCell ref="E4:K4"/>
    <mergeCell ref="L4:L5"/>
    <mergeCell ref="A7:L7"/>
    <mergeCell ref="A8:L8"/>
    <mergeCell ref="A9:L9"/>
    <mergeCell ref="A15:L15"/>
    <mergeCell ref="A16:L16"/>
    <mergeCell ref="A35:L35"/>
    <mergeCell ref="A20:L20"/>
    <mergeCell ref="A28:L28"/>
    <mergeCell ref="A29:L29"/>
    <mergeCell ref="A30:L30"/>
    <mergeCell ref="A32:L32"/>
    <mergeCell ref="A34:L34"/>
  </mergeCells>
  <pageMargins left="0.11811023622047245" right="0.11811023622047245" top="0.55118110236220474" bottom="0.15748031496062992" header="0.31496062992125984" footer="0.31496062992125984"/>
  <pageSetup paperSize="9" scale="9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таб 3</vt:lpstr>
      <vt:lpstr>таб 2</vt:lpstr>
      <vt:lpstr>Лист3</vt:lpstr>
      <vt:lpstr>'таб 2'!Заголовки_для_печати</vt:lpstr>
      <vt:lpstr>'таб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2013-11-11T05:09:22Z</dcterms:modified>
</cp:coreProperties>
</file>